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76" yWindow="1800" windowWidth="15600" windowHeight="6552"/>
  </bookViews>
  <sheets>
    <sheet name="Summ." sheetId="1" r:id="rId1"/>
    <sheet name="F" sheetId="7" r:id="rId2"/>
    <sheet name="FMC" sheetId="2" r:id="rId3"/>
    <sheet name="CHARTS" sheetId="9" r:id="rId4"/>
  </sheets>
  <definedNames>
    <definedName name="_xlnm._FilterDatabase" localSheetId="0" hidden="1">Summ.!$A$1:$S$169</definedName>
    <definedName name="Z_C8026B79_4C4A_436C_A980_AE22782A4F5F_.wvu.Cols" localSheetId="0" hidden="1">Summ.!#REF!</definedName>
  </definedNames>
  <calcPr calcId="145621"/>
  <customWorkbookViews>
    <customWorkbookView name="Melanie Reese - Personal View" guid="{BAD45175-89D5-44B0-AF3C-277DABED32D2}" mergeInterval="0" personalView="1" maximized="1" windowWidth="1264" windowHeight="764" activeSheetId="1"/>
    <customWorkbookView name="Lily Mortensen - Personal View" guid="{C8026B79-4C4A-436C-A980-AE22782A4F5F}" mergeInterval="0" personalView="1" maximized="1" windowWidth="1280" windowHeight="799" activeSheetId="1"/>
  </customWorkbookViews>
</workbook>
</file>

<file path=xl/calcChain.xml><?xml version="1.0" encoding="utf-8"?>
<calcChain xmlns="http://schemas.openxmlformats.org/spreadsheetml/2006/main">
  <c r="H18" i="7" l="1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K13" i="7" l="1"/>
  <c r="K12" i="7"/>
  <c r="K11" i="7"/>
  <c r="K7" i="7"/>
  <c r="K6" i="7"/>
  <c r="K5" i="7"/>
  <c r="K4" i="7"/>
  <c r="K3" i="7"/>
  <c r="K2" i="7"/>
  <c r="H19" i="7"/>
  <c r="E19" i="7"/>
  <c r="E18" i="7"/>
  <c r="E17" i="7"/>
  <c r="E16" i="7"/>
  <c r="E15" i="7"/>
  <c r="E14" i="7"/>
  <c r="E13" i="7"/>
  <c r="E12" i="7"/>
  <c r="E11" i="7"/>
  <c r="E10" i="7"/>
  <c r="E9" i="7"/>
  <c r="E8" i="7"/>
  <c r="E4" i="7"/>
  <c r="E3" i="7"/>
  <c r="E2" i="7"/>
  <c r="B22" i="7"/>
  <c r="B21" i="7"/>
  <c r="B16" i="7"/>
  <c r="B15" i="7"/>
  <c r="B14" i="7"/>
  <c r="B11" i="7"/>
  <c r="B10" i="7"/>
  <c r="B9" i="7"/>
  <c r="B8" i="7"/>
  <c r="B7" i="7"/>
  <c r="C22" i="2" l="1"/>
  <c r="D22" i="2"/>
  <c r="C23" i="2"/>
  <c r="D23" i="2"/>
  <c r="C24" i="2"/>
  <c r="D24" i="2"/>
  <c r="C25" i="2"/>
  <c r="D25" i="2"/>
  <c r="E25" i="2"/>
  <c r="B42" i="2"/>
  <c r="C42" i="2"/>
  <c r="D42" i="2"/>
  <c r="B43" i="2"/>
  <c r="C43" i="2"/>
  <c r="D43" i="2"/>
  <c r="B45" i="2"/>
  <c r="C45" i="2"/>
  <c r="D45" i="2"/>
  <c r="B46" i="2"/>
  <c r="C46" i="2"/>
  <c r="D46" i="2"/>
  <c r="B48" i="2"/>
  <c r="C48" i="2"/>
  <c r="D48" i="2"/>
  <c r="E48" i="2"/>
  <c r="B49" i="2"/>
  <c r="C49" i="2"/>
  <c r="D49" i="2"/>
  <c r="E49" i="2"/>
  <c r="D18" i="2" l="1"/>
  <c r="D32" i="2" s="1"/>
  <c r="C18" i="2"/>
  <c r="B18" i="2"/>
  <c r="D17" i="2"/>
  <c r="C17" i="2"/>
  <c r="B17" i="2"/>
  <c r="D31" i="2" l="1"/>
  <c r="C32" i="2"/>
  <c r="C31" i="2"/>
  <c r="E37" i="2"/>
  <c r="E36" i="2"/>
  <c r="D37" i="2"/>
  <c r="D36" i="2"/>
  <c r="D35" i="2"/>
  <c r="C37" i="2"/>
  <c r="C36" i="2"/>
  <c r="C35" i="2"/>
  <c r="B37" i="2"/>
  <c r="B36" i="2"/>
  <c r="B35" i="2"/>
  <c r="E30" i="2"/>
  <c r="E29" i="2"/>
  <c r="E28" i="2"/>
  <c r="E27" i="2"/>
  <c r="E26" i="2"/>
  <c r="D30" i="2"/>
  <c r="D29" i="2"/>
  <c r="D28" i="2"/>
  <c r="D27" i="2"/>
  <c r="D26" i="2"/>
  <c r="C30" i="2"/>
  <c r="C29" i="2"/>
  <c r="C28" i="2"/>
  <c r="C27" i="2"/>
  <c r="C26" i="2"/>
  <c r="E20" i="7" l="1"/>
  <c r="B19" i="7"/>
  <c r="K8" i="7" l="1"/>
  <c r="K14" i="7"/>
  <c r="E5" i="7"/>
  <c r="E21" i="7"/>
  <c r="B18" i="7"/>
  <c r="B17" i="7"/>
  <c r="B20" i="7" s="1"/>
  <c r="B23" i="7"/>
  <c r="K17" i="7" l="1"/>
  <c r="E5" i="2" s="1"/>
  <c r="B1" i="7"/>
  <c r="B2" i="7"/>
  <c r="B3" i="7"/>
  <c r="K16" i="7"/>
  <c r="E6" i="2" s="1"/>
  <c r="B4" i="7" l="1"/>
  <c r="E2" i="2" s="1"/>
  <c r="E42" i="2" l="1"/>
  <c r="E22" i="2"/>
  <c r="E45" i="2"/>
  <c r="E4" i="2"/>
  <c r="E24" i="2" s="1"/>
  <c r="E43" i="2" l="1"/>
  <c r="E46" i="2"/>
  <c r="E18" i="2"/>
  <c r="E32" i="2" s="1"/>
  <c r="E3" i="2"/>
  <c r="E23" i="2" s="1"/>
  <c r="E17" i="2" l="1"/>
  <c r="E35" i="2"/>
  <c r="E31" i="2" l="1"/>
</calcChain>
</file>

<file path=xl/comments1.xml><?xml version="1.0" encoding="utf-8"?>
<comments xmlns="http://schemas.openxmlformats.org/spreadsheetml/2006/main">
  <authors>
    <author>Lily Robb</author>
  </authors>
  <commentList>
    <comment ref="S20" authorId="0">
      <text>
        <r>
          <rPr>
            <b/>
            <sz val="9"/>
            <color indexed="81"/>
            <rFont val="Tahoma"/>
            <family val="2"/>
          </rPr>
          <t>Lily Robb:</t>
        </r>
        <r>
          <rPr>
            <sz val="9"/>
            <color indexed="81"/>
            <rFont val="Tahoma"/>
            <family val="2"/>
          </rPr>
          <t xml:space="preserve">
X</t>
        </r>
      </text>
    </comment>
  </commentList>
</comments>
</file>

<file path=xl/sharedStrings.xml><?xml version="1.0" encoding="utf-8"?>
<sst xmlns="http://schemas.openxmlformats.org/spreadsheetml/2006/main" count="2037" uniqueCount="390">
  <si>
    <t>Status</t>
  </si>
  <si>
    <t>Outcome</t>
  </si>
  <si>
    <t>Facilitator</t>
  </si>
  <si>
    <t>Survey Sent</t>
  </si>
  <si>
    <t>Eval.In</t>
  </si>
  <si>
    <t>WB</t>
  </si>
  <si>
    <t>Issue</t>
  </si>
  <si>
    <t>Region</t>
  </si>
  <si>
    <t>Calendar</t>
  </si>
  <si>
    <t>Facilitations Average Cost</t>
  </si>
  <si>
    <t>Mediations Average Cost</t>
  </si>
  <si>
    <t>Complaints Average Cost</t>
  </si>
  <si>
    <t>Number of Mediations Requested</t>
  </si>
  <si>
    <t>Number of Mediations Completed</t>
  </si>
  <si>
    <t>Number of Complaints Requested</t>
  </si>
  <si>
    <t xml:space="preserve">Number of Complaints Completed (Final Report) </t>
  </si>
  <si>
    <t>Data Input</t>
  </si>
  <si>
    <t>2013-14</t>
  </si>
  <si>
    <t>2012-13</t>
  </si>
  <si>
    <t>2011-12</t>
  </si>
  <si>
    <t>July</t>
  </si>
  <si>
    <t>May</t>
  </si>
  <si>
    <t>June</t>
  </si>
  <si>
    <t xml:space="preserve">Case </t>
  </si>
  <si>
    <t>EM</t>
  </si>
  <si>
    <t>Log</t>
  </si>
  <si>
    <t>Paid</t>
  </si>
  <si>
    <t>Facilitator2</t>
  </si>
  <si>
    <t>P/D/B</t>
  </si>
  <si>
    <t>Cost</t>
  </si>
  <si>
    <t>Meeting</t>
  </si>
  <si>
    <t>N/A</t>
  </si>
  <si>
    <t>Number Requested</t>
  </si>
  <si>
    <t>Sub-total Cmpltd. &amp; In Process</t>
  </si>
  <si>
    <t>Sub-total Not Completed (D+W)</t>
  </si>
  <si>
    <t>Number Withdrawn (W)</t>
  </si>
  <si>
    <t>Number Denied (D)</t>
  </si>
  <si>
    <t xml:space="preserve">2014-2015 Facilitations   </t>
  </si>
  <si>
    <t>F-14-07-17</t>
  </si>
  <si>
    <t>A</t>
  </si>
  <si>
    <t>X</t>
  </si>
  <si>
    <t>Services</t>
  </si>
  <si>
    <t>B</t>
  </si>
  <si>
    <t>07/23/14?</t>
  </si>
  <si>
    <t>F-14-08-11</t>
  </si>
  <si>
    <t>F-14-08-12</t>
  </si>
  <si>
    <t>F-14-08-13</t>
  </si>
  <si>
    <t>F-14-08-15</t>
  </si>
  <si>
    <t>F-14-08-18</t>
  </si>
  <si>
    <t>x</t>
  </si>
  <si>
    <t>Placement</t>
  </si>
  <si>
    <t>P</t>
  </si>
  <si>
    <t>F-14-08-21</t>
  </si>
  <si>
    <t>F-14-08-21b</t>
  </si>
  <si>
    <t>L</t>
  </si>
  <si>
    <t>N</t>
  </si>
  <si>
    <t>F-14-07-01</t>
  </si>
  <si>
    <t>F-14-08-21c</t>
  </si>
  <si>
    <t>W</t>
  </si>
  <si>
    <t>Type of tech</t>
  </si>
  <si>
    <t>Location</t>
  </si>
  <si>
    <t>Eligibility</t>
  </si>
  <si>
    <t>Behavior</t>
  </si>
  <si>
    <t>D</t>
  </si>
  <si>
    <t>Successful</t>
  </si>
  <si>
    <t>Unsuccessful</t>
  </si>
  <si>
    <t>withdrawn</t>
  </si>
  <si>
    <t>F-14-08-28a</t>
  </si>
  <si>
    <t>Schedule</t>
  </si>
  <si>
    <t>F-14-08-28b</t>
  </si>
  <si>
    <t>IEP LRE</t>
  </si>
  <si>
    <t>F-14-09-02</t>
  </si>
  <si>
    <t>F-14-09-04</t>
  </si>
  <si>
    <t>IEE and Services</t>
  </si>
  <si>
    <t>F-14-09-05</t>
  </si>
  <si>
    <t>F-14-09-09</t>
  </si>
  <si>
    <t>successful</t>
  </si>
  <si>
    <t>F-14-09-12b</t>
  </si>
  <si>
    <t>F-14-09-12a</t>
  </si>
  <si>
    <t>Eligibilty</t>
  </si>
  <si>
    <t>Communication</t>
  </si>
  <si>
    <t>F-14-09-11</t>
  </si>
  <si>
    <t>F-14-09-15</t>
  </si>
  <si>
    <t>Computers</t>
  </si>
  <si>
    <t>F-14-09-15b</t>
  </si>
  <si>
    <t>Denied</t>
  </si>
  <si>
    <t>F-14-09-17</t>
  </si>
  <si>
    <t>F-14-09-10</t>
  </si>
  <si>
    <t>F-14-09-18</t>
  </si>
  <si>
    <t>F-14-09-19a</t>
  </si>
  <si>
    <t>F-14-09-19b</t>
  </si>
  <si>
    <t>F-14-09-24</t>
  </si>
  <si>
    <t>F-14-09-25b</t>
  </si>
  <si>
    <t>F-14-09-25a</t>
  </si>
  <si>
    <t>F-14-09-25c</t>
  </si>
  <si>
    <t>F-14-09-26a</t>
  </si>
  <si>
    <t>F-14-09-26b</t>
  </si>
  <si>
    <t>F-14-10-02</t>
  </si>
  <si>
    <t>F-14-10-01</t>
  </si>
  <si>
    <t>BIP</t>
  </si>
  <si>
    <t>F-14-10-08</t>
  </si>
  <si>
    <t>F-14-10-09</t>
  </si>
  <si>
    <t>F-14-09-17b</t>
  </si>
  <si>
    <t>FBA BIP</t>
  </si>
  <si>
    <t>F-14-08-11b</t>
  </si>
  <si>
    <t>F-14-10-13</t>
  </si>
  <si>
    <t>F-14-10-14</t>
  </si>
  <si>
    <t>10/21 &amp;27</t>
  </si>
  <si>
    <t>F-14-10-14b</t>
  </si>
  <si>
    <t>Bussing/Toileting</t>
  </si>
  <si>
    <t>F-14-10-15</t>
  </si>
  <si>
    <t>1:1 aide</t>
  </si>
  <si>
    <t>Withdrawn</t>
  </si>
  <si>
    <t>F-14-10-17</t>
  </si>
  <si>
    <t>F-14-10-16</t>
  </si>
  <si>
    <t>F-14-10-23</t>
  </si>
  <si>
    <t>F-14-10-24</t>
  </si>
  <si>
    <t>F-14-10-27</t>
  </si>
  <si>
    <t>F-14-10-27b</t>
  </si>
  <si>
    <t>p</t>
  </si>
  <si>
    <t>F-14-11-05</t>
  </si>
  <si>
    <t>F-14-11-18</t>
  </si>
  <si>
    <t>F-14-11-13</t>
  </si>
  <si>
    <t>Tranportation</t>
  </si>
  <si>
    <t>F-14-10-06</t>
  </si>
  <si>
    <t>F-14-10-07b</t>
  </si>
  <si>
    <t>F-14-11-20</t>
  </si>
  <si>
    <t>F-14-08-20</t>
  </si>
  <si>
    <t>LRE - Services</t>
  </si>
  <si>
    <t>F-14-11-24</t>
  </si>
  <si>
    <t>Services/Aid</t>
  </si>
  <si>
    <t>F-14-11-25</t>
  </si>
  <si>
    <t>O</t>
  </si>
  <si>
    <t>F-14-11-26</t>
  </si>
  <si>
    <t>LRE/Social Issues</t>
  </si>
  <si>
    <t>F-14-12-02</t>
  </si>
  <si>
    <t>F-14-12-01</t>
  </si>
  <si>
    <t>per CA</t>
  </si>
  <si>
    <t>F-14-12-03</t>
  </si>
  <si>
    <t>F-14-12-04</t>
  </si>
  <si>
    <t>F-14-12-08</t>
  </si>
  <si>
    <t>F-14-12-10</t>
  </si>
  <si>
    <t>denied</t>
  </si>
  <si>
    <t>F-14-12-17b</t>
  </si>
  <si>
    <t>n/a</t>
  </si>
  <si>
    <t>F-14-12-22</t>
  </si>
  <si>
    <t>?</t>
  </si>
  <si>
    <t>F-14-11-12</t>
  </si>
  <si>
    <t>January?</t>
  </si>
  <si>
    <t>F-15-01-06b</t>
  </si>
  <si>
    <t>F-15-01-06c</t>
  </si>
  <si>
    <t>F-15-01-06d</t>
  </si>
  <si>
    <t>F-15-01-06a</t>
  </si>
  <si>
    <t>F-15-01-07</t>
  </si>
  <si>
    <t>F-14-12-17a</t>
  </si>
  <si>
    <t>COLE</t>
  </si>
  <si>
    <t>AARON</t>
  </si>
  <si>
    <t>F-15-01-07b</t>
  </si>
  <si>
    <t>F-15-01-12</t>
  </si>
  <si>
    <t>F-15-01-14</t>
  </si>
  <si>
    <t>F-15-01-16</t>
  </si>
  <si>
    <t>F-15-01-20</t>
  </si>
  <si>
    <t>F-15-01-28</t>
  </si>
  <si>
    <t>F-15-01-30</t>
  </si>
  <si>
    <t>F-15-01-29</t>
  </si>
  <si>
    <t>Bev? If Thurs</t>
  </si>
  <si>
    <t>F-15-02-03</t>
  </si>
  <si>
    <t>3 yr re-eval/custody</t>
  </si>
  <si>
    <t>F-15-02-04b</t>
  </si>
  <si>
    <t>F-15-02-04c</t>
  </si>
  <si>
    <t>F-15-02-04a</t>
  </si>
  <si>
    <t>F-15-02-05</t>
  </si>
  <si>
    <t xml:space="preserve">eligibility </t>
  </si>
  <si>
    <t>F-15-02-06</t>
  </si>
  <si>
    <t>F-15-02-05b</t>
  </si>
  <si>
    <t>F-15-02-10</t>
  </si>
  <si>
    <t>Toileting</t>
  </si>
  <si>
    <t>F-15-02-10b</t>
  </si>
  <si>
    <t>F-15-02-10c</t>
  </si>
  <si>
    <t>Amend IEP- Service</t>
  </si>
  <si>
    <t>(Per Focus Visit)</t>
  </si>
  <si>
    <t>F-15-02-11</t>
  </si>
  <si>
    <t>F-15-02-12</t>
  </si>
  <si>
    <t>F-15-02-13</t>
  </si>
  <si>
    <t>F-15-02-12b</t>
  </si>
  <si>
    <t>2/12, 3/4</t>
  </si>
  <si>
    <t>F-15-02-13b</t>
  </si>
  <si>
    <t>Eligibility Mtg</t>
  </si>
  <si>
    <t>Comm, Bully, Work</t>
  </si>
  <si>
    <t>F-15-02-17</t>
  </si>
  <si>
    <t>Graduation</t>
  </si>
  <si>
    <t>F-15-02-17b</t>
  </si>
  <si>
    <t xml:space="preserve">n/a </t>
  </si>
  <si>
    <t>F-15-02-19</t>
  </si>
  <si>
    <t>F-15-02-20</t>
  </si>
  <si>
    <t>F-15-02-23a</t>
  </si>
  <si>
    <t>F-15-02-23b</t>
  </si>
  <si>
    <t>F-15-02-23c</t>
  </si>
  <si>
    <t>F-15-02-24a</t>
  </si>
  <si>
    <t>F-15-02-24b</t>
  </si>
  <si>
    <t>F-15-03-03</t>
  </si>
  <si>
    <t>referral</t>
  </si>
  <si>
    <t>F-15-03-03b</t>
  </si>
  <si>
    <t>F-15-03-03d</t>
  </si>
  <si>
    <t>Annual</t>
  </si>
  <si>
    <t>F-15-03-03c</t>
  </si>
  <si>
    <t>F-15-03-12</t>
  </si>
  <si>
    <t>Dis. /Sum. School</t>
  </si>
  <si>
    <t>F-15-03-12c</t>
  </si>
  <si>
    <t>F-15-03-12b</t>
  </si>
  <si>
    <t>F-15-03-17a</t>
  </si>
  <si>
    <t>F-15-03-18b</t>
  </si>
  <si>
    <t>F-15-03-18a</t>
  </si>
  <si>
    <t>Behavior Plan</t>
  </si>
  <si>
    <t>F-15-03-24</t>
  </si>
  <si>
    <t>n</t>
  </si>
  <si>
    <t>F-15-03-27</t>
  </si>
  <si>
    <t>F-15-03-30</t>
  </si>
  <si>
    <t>F-15-03-31</t>
  </si>
  <si>
    <t>F-15-03-25</t>
  </si>
  <si>
    <t>F-15-04-06</t>
  </si>
  <si>
    <t>F-15-04-10</t>
  </si>
  <si>
    <t xml:space="preserve">withdrawn </t>
  </si>
  <si>
    <t>F-15-04-14</t>
  </si>
  <si>
    <t>F-15-04-10b</t>
  </si>
  <si>
    <t>Informal Meeting</t>
  </si>
  <si>
    <t>F-15-04-15</t>
  </si>
  <si>
    <t>Restraint</t>
  </si>
  <si>
    <t>F-15-04-15b</t>
  </si>
  <si>
    <t>Re-enroll</t>
  </si>
  <si>
    <t>F-15-04-16a</t>
  </si>
  <si>
    <t>F-15-04-16b</t>
  </si>
  <si>
    <t>F-15-04-20a</t>
  </si>
  <si>
    <t>F-15-04-21b</t>
  </si>
  <si>
    <t>F-15-04-21a</t>
  </si>
  <si>
    <t>F-15-04-23a</t>
  </si>
  <si>
    <t>F-15-04-23b</t>
  </si>
  <si>
    <t>F-15-04-24a</t>
  </si>
  <si>
    <t>F-15-04-24b</t>
  </si>
  <si>
    <t xml:space="preserve">F-15-04-24c </t>
  </si>
  <si>
    <t>services</t>
  </si>
  <si>
    <t>5/20 &amp; 5/28</t>
  </si>
  <si>
    <t>F-15-04-27a</t>
  </si>
  <si>
    <t>5/13&amp;19</t>
  </si>
  <si>
    <t>ESY</t>
  </si>
  <si>
    <t>F-15-04-29a</t>
  </si>
  <si>
    <t>Annual Review</t>
  </si>
  <si>
    <t>F-15-05-01</t>
  </si>
  <si>
    <t>F-15-05-05</t>
  </si>
  <si>
    <t>F-15-04-22a</t>
  </si>
  <si>
    <t>F-15-04-30</t>
  </si>
  <si>
    <t>Informal meeting</t>
  </si>
  <si>
    <t>F-15-05-07</t>
  </si>
  <si>
    <t>F-15-05-11a</t>
  </si>
  <si>
    <t>F-15-05-12a</t>
  </si>
  <si>
    <t>F-15-05-11b</t>
  </si>
  <si>
    <t>F-15-05-11c</t>
  </si>
  <si>
    <t>5/</t>
  </si>
  <si>
    <t>F-15-05-12b</t>
  </si>
  <si>
    <t>F-15-05-13a</t>
  </si>
  <si>
    <t>RS-15-05-13b</t>
  </si>
  <si>
    <t>F-15-05-14</t>
  </si>
  <si>
    <t>Sub-total In Process (P)</t>
  </si>
  <si>
    <t>F-15-04-14b</t>
  </si>
  <si>
    <t>F-15-05-15a</t>
  </si>
  <si>
    <t>F-15-05-14b</t>
  </si>
  <si>
    <t>Safety</t>
  </si>
  <si>
    <t>F-15-05-18a</t>
  </si>
  <si>
    <t>PSR</t>
  </si>
  <si>
    <t>F-15-05-21</t>
  </si>
  <si>
    <t>F-15-05-21b</t>
  </si>
  <si>
    <t>F-15-05-26a</t>
  </si>
  <si>
    <t>re-eval</t>
  </si>
  <si>
    <t>F-15-05-27</t>
  </si>
  <si>
    <t>RS-15-05-14</t>
  </si>
  <si>
    <t>RS-15-05-20</t>
  </si>
  <si>
    <t>F-15-05-28</t>
  </si>
  <si>
    <t>F-15-05-29</t>
  </si>
  <si>
    <t>F-15-06-03a</t>
  </si>
  <si>
    <t>F-15-05-29b</t>
  </si>
  <si>
    <t>F-15-06-03b</t>
  </si>
  <si>
    <t>F-15-01-08</t>
  </si>
  <si>
    <t>Number Accepted (A)</t>
  </si>
  <si>
    <t>Sub-total Completed (S+U)</t>
  </si>
  <si>
    <t>Number Pending Agreement (P)</t>
  </si>
  <si>
    <t xml:space="preserve">Number Successful </t>
  </si>
  <si>
    <t xml:space="preserve">Number Unsuccessful </t>
  </si>
  <si>
    <t xml:space="preserve">Number Pending Outcome </t>
  </si>
  <si>
    <t>Sept</t>
  </si>
  <si>
    <t>Oct</t>
  </si>
  <si>
    <t>Nov</t>
  </si>
  <si>
    <t>Dec</t>
  </si>
  <si>
    <t>Apr</t>
  </si>
  <si>
    <t>Aug</t>
  </si>
  <si>
    <t>Jan</t>
  </si>
  <si>
    <t>Feb</t>
  </si>
  <si>
    <t>Mar</t>
  </si>
  <si>
    <t>Non-Facilitations</t>
  </si>
  <si>
    <t>BY MONTH</t>
  </si>
  <si>
    <t>BY YEAR</t>
  </si>
  <si>
    <t>Sub-Total (for check)</t>
  </si>
  <si>
    <t>BY REGION</t>
  </si>
  <si>
    <t>Agreements</t>
  </si>
  <si>
    <t>Non Agreements</t>
  </si>
  <si>
    <t>Percentage Successful</t>
  </si>
  <si>
    <r>
      <t xml:space="preserve">CASE </t>
    </r>
    <r>
      <rPr>
        <b/>
        <i/>
        <sz val="11"/>
        <rFont val="Calibri"/>
        <family val="2"/>
        <scheme val="minor"/>
      </rPr>
      <t xml:space="preserve">STATUS </t>
    </r>
    <r>
      <rPr>
        <b/>
        <sz val="11"/>
        <rFont val="Calibri"/>
        <family val="2"/>
        <scheme val="minor"/>
      </rPr>
      <t>SUMMARY</t>
    </r>
  </si>
  <si>
    <r>
      <t xml:space="preserve">CASE </t>
    </r>
    <r>
      <rPr>
        <b/>
        <i/>
        <sz val="11"/>
        <color theme="1"/>
        <rFont val="Calibri"/>
        <family val="2"/>
        <scheme val="minor"/>
      </rPr>
      <t>OUTCOME SUMMARY</t>
    </r>
  </si>
  <si>
    <t>Region 1</t>
  </si>
  <si>
    <t>Region 2</t>
  </si>
  <si>
    <t>Region 3</t>
  </si>
  <si>
    <t xml:space="preserve"> Region 4</t>
  </si>
  <si>
    <t>Region 5</t>
  </si>
  <si>
    <t>Region 6</t>
  </si>
  <si>
    <t>Parent Request</t>
  </si>
  <si>
    <t>District Request</t>
  </si>
  <si>
    <t>SDE or Both Request</t>
  </si>
  <si>
    <t>BY FACILITATOR(S)</t>
  </si>
  <si>
    <t>2014-15</t>
  </si>
  <si>
    <t>CHANGE</t>
  </si>
  <si>
    <t>11-12 --12-13</t>
  </si>
  <si>
    <t>12-13 --13-14</t>
  </si>
  <si>
    <t>13-14 --14-15</t>
  </si>
  <si>
    <t>Annual Change in Procedure Cost and Quantity</t>
  </si>
  <si>
    <t>Completed/Requested</t>
  </si>
  <si>
    <t>All DR Requested</t>
  </si>
  <si>
    <t>Number all DR Completed</t>
  </si>
  <si>
    <t>Number all DR Requested</t>
  </si>
  <si>
    <t xml:space="preserve">All DR Completed </t>
  </si>
  <si>
    <t xml:space="preserve">*Facilitation HIGH $ </t>
  </si>
  <si>
    <t>*Facilitation LOW $</t>
  </si>
  <si>
    <t>*= Of completed, regular cases</t>
  </si>
  <si>
    <t>Facilitations Cplt/Rqt</t>
  </si>
  <si>
    <t>Mediations Cplt/Rqt</t>
  </si>
  <si>
    <t>Complaints Cplt/Rqt</t>
  </si>
  <si>
    <t xml:space="preserve">Facilitations 2014 </t>
  </si>
  <si>
    <t>Facilitation Min.</t>
  </si>
  <si>
    <t xml:space="preserve">Facilitation Max. </t>
  </si>
  <si>
    <t>Mediation Min.</t>
  </si>
  <si>
    <t xml:space="preserve">Mediation Max. </t>
  </si>
  <si>
    <t xml:space="preserve">Complaint Min. </t>
  </si>
  <si>
    <t xml:space="preserve">Complaint Max. </t>
  </si>
  <si>
    <t>TOTAL COST (includes D,W, etc.)</t>
  </si>
  <si>
    <t>Average Cost (completed &amp; reg)</t>
  </si>
  <si>
    <t>Count Paid (completed &amp; reg.)</t>
  </si>
  <si>
    <t>Total Cost  (completed &amp;reg.)</t>
  </si>
  <si>
    <t>Facilitation 2015</t>
  </si>
  <si>
    <t>Cost: Facilitation vs Complaint</t>
  </si>
  <si>
    <t>Facilitations vs Complaints</t>
  </si>
  <si>
    <t xml:space="preserve"> Facilitations vs Mediations</t>
  </si>
  <si>
    <t>Cost: Facilitation vs Mediation</t>
  </si>
  <si>
    <t>Quantity Completed: Facilitation vs Mediation</t>
  </si>
  <si>
    <t>Quantity Completed: Facilitation vs Complaint</t>
  </si>
  <si>
    <t>Cost: Mediation vs Complaint</t>
  </si>
  <si>
    <t>Quantity Completed: Mediations vs Complaints</t>
  </si>
  <si>
    <t>Mediations vs Complaints</t>
  </si>
  <si>
    <t>PROCESS COMPARISONS - Of Cost and Quantity Completed</t>
  </si>
  <si>
    <t>Quantity Facilitation Requested</t>
  </si>
  <si>
    <t>Quantity Facilitation Completed</t>
  </si>
  <si>
    <t>Quantity Mediations Requested</t>
  </si>
  <si>
    <t>Quantity Mediations Completed</t>
  </si>
  <si>
    <t>Quantity Complaints Requested</t>
  </si>
  <si>
    <t>Quantity Complaints Completed</t>
  </si>
  <si>
    <t>REQUESTOR</t>
  </si>
  <si>
    <t>Facilitation Current Year Information:</t>
  </si>
  <si>
    <t>Multi-D.R. Case and/or Multi-Year Information</t>
  </si>
  <si>
    <t xml:space="preserve">Sub-Total </t>
  </si>
  <si>
    <t>Cost - W/D or irr.</t>
  </si>
  <si>
    <t>Resolution Sessions</t>
  </si>
  <si>
    <t>BH</t>
  </si>
  <si>
    <t>BB</t>
  </si>
  <si>
    <t>CT</t>
  </si>
  <si>
    <t>C</t>
  </si>
  <si>
    <t>CA</t>
  </si>
  <si>
    <t>DM</t>
  </si>
  <si>
    <t>EL</t>
  </si>
  <si>
    <t>IC</t>
  </si>
  <si>
    <t>SH</t>
  </si>
  <si>
    <t>RLE</t>
  </si>
  <si>
    <t>JA</t>
  </si>
  <si>
    <t>LL</t>
  </si>
  <si>
    <t>LB</t>
  </si>
  <si>
    <t>MB</t>
  </si>
  <si>
    <t>TH</t>
  </si>
  <si>
    <t>MH</t>
  </si>
  <si>
    <t>TrH</t>
  </si>
  <si>
    <t>PHP</t>
  </si>
  <si>
    <t>PE</t>
  </si>
  <si>
    <t>PF</t>
  </si>
  <si>
    <t>Number of Facilitations Requested</t>
  </si>
  <si>
    <t>Number of Facilitations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</si>
</sst>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d\-mmm;@"/>
    <numFmt numFmtId="166" formatCode="m/d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1" applyNumberFormat="1" applyFont="1"/>
    <xf numFmtId="0" fontId="0" fillId="2" borderId="0" xfId="0" applyFill="1"/>
    <xf numFmtId="0" fontId="0" fillId="0" borderId="0" xfId="0" applyFill="1"/>
    <xf numFmtId="0" fontId="0" fillId="0" borderId="0" xfId="1" applyNumberFormat="1" applyFont="1" applyFill="1"/>
    <xf numFmtId="0" fontId="1" fillId="9" borderId="10" xfId="1" applyNumberFormat="1" applyFont="1" applyFill="1" applyBorder="1"/>
    <xf numFmtId="0" fontId="9" fillId="10" borderId="1" xfId="0" applyFont="1" applyFill="1" applyBorder="1"/>
    <xf numFmtId="166" fontId="9" fillId="10" borderId="1" xfId="0" applyNumberFormat="1" applyFont="1" applyFill="1" applyBorder="1" applyAlignment="1">
      <alignment horizontal="center"/>
    </xf>
    <xf numFmtId="44" fontId="9" fillId="10" borderId="1" xfId="1" applyNumberFormat="1" applyFont="1" applyFill="1" applyBorder="1"/>
    <xf numFmtId="0" fontId="9" fillId="11" borderId="1" xfId="0" applyFont="1" applyFill="1" applyBorder="1"/>
    <xf numFmtId="166" fontId="9" fillId="11" borderId="1" xfId="0" applyNumberFormat="1" applyFont="1" applyFill="1" applyBorder="1" applyAlignment="1">
      <alignment horizontal="center"/>
    </xf>
    <xf numFmtId="44" fontId="9" fillId="11" borderId="1" xfId="1" applyNumberFormat="1" applyFont="1" applyFill="1" applyBorder="1"/>
    <xf numFmtId="44" fontId="9" fillId="11" borderId="1" xfId="1" applyFont="1" applyFill="1" applyBorder="1"/>
    <xf numFmtId="0" fontId="9" fillId="10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9" borderId="1" xfId="0" applyFont="1" applyFill="1" applyBorder="1"/>
    <xf numFmtId="44" fontId="9" fillId="0" borderId="1" xfId="1" applyFont="1" applyFill="1" applyBorder="1"/>
    <xf numFmtId="0" fontId="9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20" fontId="9" fillId="11" borderId="1" xfId="0" applyNumberFormat="1" applyFont="1" applyFill="1" applyBorder="1"/>
    <xf numFmtId="166" fontId="9" fillId="11" borderId="1" xfId="0" applyNumberFormat="1" applyFont="1" applyFill="1" applyBorder="1"/>
    <xf numFmtId="16" fontId="9" fillId="11" borderId="1" xfId="0" applyNumberFormat="1" applyFont="1" applyFill="1" applyBorder="1"/>
    <xf numFmtId="0" fontId="9" fillId="11" borderId="0" xfId="0" applyFont="1" applyFill="1" applyBorder="1"/>
    <xf numFmtId="0" fontId="0" fillId="11" borderId="0" xfId="0" applyFill="1" applyBorder="1"/>
    <xf numFmtId="44" fontId="9" fillId="11" borderId="0" xfId="1" applyFont="1" applyFill="1" applyBorder="1"/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textRotation="180"/>
    </xf>
    <xf numFmtId="0" fontId="8" fillId="0" borderId="0" xfId="0" applyFont="1" applyBorder="1" applyAlignment="1">
      <alignment horizontal="center" textRotation="180"/>
    </xf>
    <xf numFmtId="166" fontId="8" fillId="0" borderId="0" xfId="0" applyNumberFormat="1" applyFont="1" applyBorder="1" applyAlignment="1">
      <alignment horizontal="center"/>
    </xf>
    <xf numFmtId="44" fontId="8" fillId="0" borderId="0" xfId="1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44" fontId="0" fillId="0" borderId="0" xfId="1" applyFont="1" applyBorder="1"/>
    <xf numFmtId="0" fontId="0" fillId="7" borderId="1" xfId="0" applyFill="1" applyBorder="1"/>
    <xf numFmtId="44" fontId="1" fillId="8" borderId="2" xfId="1" applyFont="1" applyFill="1" applyBorder="1"/>
    <xf numFmtId="44" fontId="1" fillId="8" borderId="3" xfId="1" applyFont="1" applyFill="1" applyBorder="1"/>
    <xf numFmtId="44" fontId="1" fillId="8" borderId="9" xfId="1" applyFont="1" applyFill="1" applyBorder="1"/>
    <xf numFmtId="0" fontId="1" fillId="8" borderId="10" xfId="1" applyNumberFormat="1" applyFont="1" applyFill="1" applyBorder="1"/>
    <xf numFmtId="44" fontId="1" fillId="8" borderId="4" xfId="1" applyFont="1" applyFill="1" applyBorder="1"/>
    <xf numFmtId="44" fontId="1" fillId="8" borderId="6" xfId="1" applyFont="1" applyFill="1" applyBorder="1"/>
    <xf numFmtId="0" fontId="9" fillId="0" borderId="8" xfId="0" applyFont="1" applyBorder="1"/>
    <xf numFmtId="44" fontId="0" fillId="0" borderId="8" xfId="1" applyFont="1" applyFill="1" applyBorder="1"/>
    <xf numFmtId="0" fontId="0" fillId="14" borderId="9" xfId="0" applyFill="1" applyBorder="1"/>
    <xf numFmtId="0" fontId="1" fillId="14" borderId="10" xfId="0" applyFont="1" applyFill="1" applyBorder="1"/>
    <xf numFmtId="0" fontId="0" fillId="14" borderId="4" xfId="0" applyFill="1" applyBorder="1"/>
    <xf numFmtId="0" fontId="0" fillId="4" borderId="9" xfId="0" applyFill="1" applyBorder="1"/>
    <xf numFmtId="0" fontId="0" fillId="3" borderId="9" xfId="0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6" fillId="5" borderId="26" xfId="0" applyFont="1" applyFill="1" applyBorder="1" applyAlignment="1">
      <alignment horizontal="center"/>
    </xf>
    <xf numFmtId="0" fontId="13" fillId="5" borderId="27" xfId="0" applyFont="1" applyFill="1" applyBorder="1"/>
    <xf numFmtId="0" fontId="13" fillId="5" borderId="22" xfId="0" applyFont="1" applyFill="1" applyBorder="1"/>
    <xf numFmtId="0" fontId="13" fillId="5" borderId="23" xfId="0" applyFont="1" applyFill="1" applyBorder="1"/>
    <xf numFmtId="0" fontId="13" fillId="5" borderId="11" xfId="0" applyFont="1" applyFill="1" applyBorder="1"/>
    <xf numFmtId="0" fontId="13" fillId="5" borderId="4" xfId="0" applyFont="1" applyFill="1" applyBorder="1"/>
    <xf numFmtId="0" fontId="13" fillId="5" borderId="28" xfId="0" applyFont="1" applyFill="1" applyBorder="1"/>
    <xf numFmtId="0" fontId="13" fillId="5" borderId="29" xfId="0" applyFont="1" applyFill="1" applyBorder="1"/>
    <xf numFmtId="0" fontId="6" fillId="5" borderId="22" xfId="0" applyFont="1" applyFill="1" applyBorder="1" applyAlignment="1">
      <alignment horizontal="center"/>
    </xf>
    <xf numFmtId="0" fontId="13" fillId="5" borderId="2" xfId="0" applyFont="1" applyFill="1" applyBorder="1"/>
    <xf numFmtId="0" fontId="13" fillId="5" borderId="9" xfId="0" applyFont="1" applyFill="1" applyBorder="1"/>
    <xf numFmtId="0" fontId="0" fillId="4" borderId="31" xfId="0" applyFill="1" applyBorder="1"/>
    <xf numFmtId="0" fontId="0" fillId="13" borderId="9" xfId="0" applyFill="1" applyBorder="1"/>
    <xf numFmtId="0" fontId="0" fillId="13" borderId="31" xfId="0" applyFill="1" applyBorder="1"/>
    <xf numFmtId="0" fontId="0" fillId="13" borderId="24" xfId="0" applyFill="1" applyBorder="1"/>
    <xf numFmtId="0" fontId="0" fillId="4" borderId="24" xfId="0" applyFill="1" applyBorder="1"/>
    <xf numFmtId="0" fontId="0" fillId="7" borderId="30" xfId="0" applyFill="1" applyBorder="1"/>
    <xf numFmtId="9" fontId="1" fillId="3" borderId="6" xfId="2" applyFont="1" applyFill="1" applyBorder="1"/>
    <xf numFmtId="0" fontId="9" fillId="11" borderId="0" xfId="0" applyFont="1" applyFill="1" applyBorder="1" applyAlignment="1">
      <alignment horizontal="center"/>
    </xf>
    <xf numFmtId="166" fontId="9" fillId="11" borderId="0" xfId="0" applyNumberFormat="1" applyFont="1" applyFill="1" applyBorder="1" applyAlignment="1">
      <alignment horizontal="center"/>
    </xf>
    <xf numFmtId="164" fontId="0" fillId="0" borderId="0" xfId="1" applyNumberFormat="1" applyFont="1" applyBorder="1"/>
    <xf numFmtId="0" fontId="0" fillId="11" borderId="1" xfId="0" applyFill="1" applyBorder="1"/>
    <xf numFmtId="0" fontId="9" fillId="10" borderId="39" xfId="0" applyFont="1" applyFill="1" applyBorder="1"/>
    <xf numFmtId="0" fontId="9" fillId="11" borderId="39" xfId="0" applyFont="1" applyFill="1" applyBorder="1"/>
    <xf numFmtId="0" fontId="9" fillId="9" borderId="39" xfId="0" applyFont="1" applyFill="1" applyBorder="1"/>
    <xf numFmtId="0" fontId="9" fillId="0" borderId="39" xfId="0" applyFont="1" applyFill="1" applyBorder="1"/>
    <xf numFmtId="0" fontId="0" fillId="12" borderId="39" xfId="0" applyFill="1" applyBorder="1"/>
    <xf numFmtId="44" fontId="9" fillId="10" borderId="37" xfId="1" applyNumberFormat="1" applyFont="1" applyFill="1" applyBorder="1"/>
    <xf numFmtId="44" fontId="9" fillId="11" borderId="37" xfId="1" applyNumberFormat="1" applyFont="1" applyFill="1" applyBorder="1"/>
    <xf numFmtId="44" fontId="9" fillId="11" borderId="37" xfId="1" applyFont="1" applyFill="1" applyBorder="1"/>
    <xf numFmtId="44" fontId="9" fillId="0" borderId="37" xfId="1" applyFont="1" applyFill="1" applyBorder="1"/>
    <xf numFmtId="44" fontId="0" fillId="11" borderId="37" xfId="0" applyNumberFormat="1" applyFill="1" applyBorder="1"/>
    <xf numFmtId="164" fontId="12" fillId="0" borderId="37" xfId="0" applyNumberFormat="1" applyFont="1" applyBorder="1"/>
    <xf numFmtId="0" fontId="9" fillId="11" borderId="37" xfId="0" applyFont="1" applyFill="1" applyBorder="1"/>
    <xf numFmtId="0" fontId="1" fillId="8" borderId="19" xfId="0" applyFont="1" applyFill="1" applyBorder="1" applyAlignment="1">
      <alignment horizontal="left"/>
    </xf>
    <xf numFmtId="44" fontId="1" fillId="8" borderId="20" xfId="0" applyNumberFormat="1" applyFont="1" applyFill="1" applyBorder="1"/>
    <xf numFmtId="0" fontId="1" fillId="14" borderId="6" xfId="0" applyFont="1" applyFill="1" applyBorder="1"/>
    <xf numFmtId="0" fontId="6" fillId="5" borderId="3" xfId="0" applyFont="1" applyFill="1" applyBorder="1"/>
    <xf numFmtId="0" fontId="6" fillId="5" borderId="10" xfId="0" applyFont="1" applyFill="1" applyBorder="1"/>
    <xf numFmtId="0" fontId="6" fillId="5" borderId="12" xfId="0" applyFont="1" applyFill="1" applyBorder="1"/>
    <xf numFmtId="0" fontId="6" fillId="5" borderId="6" xfId="0" applyFont="1" applyFill="1" applyBorder="1"/>
    <xf numFmtId="0" fontId="6" fillId="5" borderId="23" xfId="0" applyFont="1" applyFill="1" applyBorder="1"/>
    <xf numFmtId="0" fontId="1" fillId="7" borderId="30" xfId="0" applyFont="1" applyFill="1" applyBorder="1"/>
    <xf numFmtId="0" fontId="1" fillId="7" borderId="1" xfId="0" applyFont="1" applyFill="1" applyBorder="1"/>
    <xf numFmtId="0" fontId="1" fillId="4" borderId="25" xfId="0" applyFont="1" applyFill="1" applyBorder="1"/>
    <xf numFmtId="0" fontId="1" fillId="4" borderId="10" xfId="0" applyFont="1" applyFill="1" applyBorder="1"/>
    <xf numFmtId="0" fontId="1" fillId="4" borderId="18" xfId="0" applyFont="1" applyFill="1" applyBorder="1"/>
    <xf numFmtId="0" fontId="1" fillId="13" borderId="25" xfId="0" applyFont="1" applyFill="1" applyBorder="1"/>
    <xf numFmtId="0" fontId="1" fillId="13" borderId="10" xfId="0" applyFont="1" applyFill="1" applyBorder="1"/>
    <xf numFmtId="0" fontId="1" fillId="13" borderId="18" xfId="0" applyFont="1" applyFill="1" applyBorder="1"/>
    <xf numFmtId="0" fontId="1" fillId="15" borderId="2" xfId="0" applyFont="1" applyFill="1" applyBorder="1"/>
    <xf numFmtId="44" fontId="1" fillId="15" borderId="3" xfId="1" applyFont="1" applyFill="1" applyBorder="1"/>
    <xf numFmtId="0" fontId="1" fillId="15" borderId="9" xfId="0" applyFont="1" applyFill="1" applyBorder="1"/>
    <xf numFmtId="44" fontId="1" fillId="15" borderId="10" xfId="1" applyFont="1" applyFill="1" applyBorder="1"/>
    <xf numFmtId="9" fontId="1" fillId="2" borderId="1" xfId="1" applyNumberFormat="1" applyFont="1" applyFill="1" applyBorder="1"/>
    <xf numFmtId="0" fontId="0" fillId="11" borderId="13" xfId="0" applyFill="1" applyBorder="1" applyAlignment="1">
      <alignment horizontal="left"/>
    </xf>
    <xf numFmtId="0" fontId="0" fillId="11" borderId="0" xfId="0" applyFill="1"/>
    <xf numFmtId="0" fontId="0" fillId="11" borderId="0" xfId="1" applyNumberFormat="1" applyFont="1" applyFill="1"/>
    <xf numFmtId="0" fontId="1" fillId="6" borderId="9" xfId="0" applyFont="1" applyFill="1" applyBorder="1" applyAlignment="1">
      <alignment horizontal="left"/>
    </xf>
    <xf numFmtId="44" fontId="1" fillId="6" borderId="10" xfId="1" applyNumberFormat="1" applyFont="1" applyFill="1" applyBorder="1"/>
    <xf numFmtId="0" fontId="0" fillId="6" borderId="9" xfId="0" applyFill="1" applyBorder="1" applyAlignment="1">
      <alignment horizontal="left"/>
    </xf>
    <xf numFmtId="0" fontId="1" fillId="6" borderId="10" xfId="1" applyNumberFormat="1" applyFont="1" applyFill="1" applyBorder="1"/>
    <xf numFmtId="164" fontId="1" fillId="6" borderId="10" xfId="1" applyNumberFormat="1" applyFont="1" applyFill="1" applyBorder="1"/>
    <xf numFmtId="0" fontId="1" fillId="6" borderId="12" xfId="1" applyNumberFormat="1" applyFont="1" applyFill="1" applyBorder="1"/>
    <xf numFmtId="0" fontId="0" fillId="6" borderId="11" xfId="0" applyFill="1" applyBorder="1" applyAlignment="1">
      <alignment horizontal="left"/>
    </xf>
    <xf numFmtId="0" fontId="16" fillId="6" borderId="2" xfId="0" applyFont="1" applyFill="1" applyBorder="1"/>
    <xf numFmtId="44" fontId="16" fillId="6" borderId="35" xfId="1" applyFont="1" applyFill="1" applyBorder="1"/>
    <xf numFmtId="44" fontId="16" fillId="6" borderId="3" xfId="1" applyFont="1" applyFill="1" applyBorder="1"/>
    <xf numFmtId="0" fontId="16" fillId="6" borderId="4" xfId="0" applyFont="1" applyFill="1" applyBorder="1"/>
    <xf numFmtId="44" fontId="16" fillId="6" borderId="5" xfId="1" applyFont="1" applyFill="1" applyBorder="1"/>
    <xf numFmtId="44" fontId="16" fillId="6" borderId="6" xfId="1" applyFont="1" applyFill="1" applyBorder="1"/>
    <xf numFmtId="0" fontId="3" fillId="6" borderId="2" xfId="0" applyFont="1" applyFill="1" applyBorder="1" applyAlignment="1">
      <alignment horizontal="left"/>
    </xf>
    <xf numFmtId="0" fontId="3" fillId="6" borderId="35" xfId="1" applyNumberFormat="1" applyFont="1" applyFill="1" applyBorder="1"/>
    <xf numFmtId="0" fontId="3" fillId="6" borderId="4" xfId="0" applyFont="1" applyFill="1" applyBorder="1" applyAlignment="1">
      <alignment horizontal="left"/>
    </xf>
    <xf numFmtId="0" fontId="3" fillId="6" borderId="5" xfId="0" applyFont="1" applyFill="1" applyBorder="1"/>
    <xf numFmtId="0" fontId="1" fillId="16" borderId="35" xfId="1" applyNumberFormat="1" applyFont="1" applyFill="1" applyBorder="1" applyAlignment="1">
      <alignment horizontal="center"/>
    </xf>
    <xf numFmtId="9" fontId="0" fillId="16" borderId="1" xfId="2" applyFont="1" applyFill="1" applyBorder="1"/>
    <xf numFmtId="9" fontId="0" fillId="16" borderId="38" xfId="2" applyFont="1" applyFill="1" applyBorder="1"/>
    <xf numFmtId="0" fontId="1" fillId="16" borderId="2" xfId="0" applyFont="1" applyFill="1" applyBorder="1" applyAlignment="1">
      <alignment horizontal="left"/>
    </xf>
    <xf numFmtId="0" fontId="1" fillId="16" borderId="35" xfId="0" applyFont="1" applyFill="1" applyBorder="1" applyAlignment="1">
      <alignment horizontal="left"/>
    </xf>
    <xf numFmtId="9" fontId="1" fillId="16" borderId="35" xfId="2" applyFont="1" applyFill="1" applyBorder="1"/>
    <xf numFmtId="0" fontId="1" fillId="16" borderId="4" xfId="0" applyFont="1" applyFill="1" applyBorder="1" applyAlignment="1">
      <alignment horizontal="left"/>
    </xf>
    <xf numFmtId="0" fontId="1" fillId="16" borderId="5" xfId="0" applyFont="1" applyFill="1" applyBorder="1" applyAlignment="1">
      <alignment horizontal="left"/>
    </xf>
    <xf numFmtId="9" fontId="1" fillId="16" borderId="5" xfId="2" applyFont="1" applyFill="1" applyBorder="1"/>
    <xf numFmtId="9" fontId="0" fillId="17" borderId="1" xfId="2" applyFont="1" applyFill="1" applyBorder="1"/>
    <xf numFmtId="0" fontId="1" fillId="6" borderId="24" xfId="0" applyFont="1" applyFill="1" applyBorder="1" applyAlignment="1">
      <alignment horizontal="left"/>
    </xf>
    <xf numFmtId="44" fontId="1" fillId="6" borderId="25" xfId="1" applyNumberFormat="1" applyFont="1" applyFill="1" applyBorder="1"/>
    <xf numFmtId="44" fontId="1" fillId="9" borderId="25" xfId="1" applyNumberFormat="1" applyFont="1" applyFill="1" applyBorder="1"/>
    <xf numFmtId="0" fontId="5" fillId="6" borderId="26" xfId="0" applyFont="1" applyFill="1" applyBorder="1" applyAlignment="1">
      <alignment horizontal="center"/>
    </xf>
    <xf numFmtId="0" fontId="1" fillId="6" borderId="27" xfId="1" applyNumberFormat="1" applyFont="1" applyFill="1" applyBorder="1" applyAlignment="1">
      <alignment horizontal="center"/>
    </xf>
    <xf numFmtId="165" fontId="1" fillId="6" borderId="27" xfId="1" applyNumberFormat="1" applyFont="1" applyFill="1" applyBorder="1" applyAlignment="1">
      <alignment horizontal="center"/>
    </xf>
    <xf numFmtId="44" fontId="16" fillId="9" borderId="3" xfId="1" applyFont="1" applyFill="1" applyBorder="1"/>
    <xf numFmtId="44" fontId="16" fillId="9" borderId="6" xfId="1" applyFont="1" applyFill="1" applyBorder="1"/>
    <xf numFmtId="0" fontId="0" fillId="2" borderId="9" xfId="0" applyFill="1" applyBorder="1"/>
    <xf numFmtId="9" fontId="1" fillId="2" borderId="10" xfId="1" applyNumberFormat="1" applyFont="1" applyFill="1" applyBorder="1"/>
    <xf numFmtId="0" fontId="0" fillId="17" borderId="9" xfId="0" applyFill="1" applyBorder="1"/>
    <xf numFmtId="9" fontId="0" fillId="17" borderId="10" xfId="2" applyFont="1" applyFill="1" applyBorder="1"/>
    <xf numFmtId="0" fontId="0" fillId="17" borderId="4" xfId="0" applyFill="1" applyBorder="1"/>
    <xf numFmtId="9" fontId="0" fillId="17" borderId="5" xfId="2" applyFont="1" applyFill="1" applyBorder="1"/>
    <xf numFmtId="9" fontId="0" fillId="17" borderId="6" xfId="2" applyFont="1" applyFill="1" applyBorder="1"/>
    <xf numFmtId="0" fontId="1" fillId="16" borderId="3" xfId="1" applyNumberFormat="1" applyFont="1" applyFill="1" applyBorder="1" applyAlignment="1">
      <alignment horizontal="center"/>
    </xf>
    <xf numFmtId="9" fontId="0" fillId="16" borderId="10" xfId="2" applyFont="1" applyFill="1" applyBorder="1"/>
    <xf numFmtId="9" fontId="0" fillId="16" borderId="12" xfId="2" applyFont="1" applyFill="1" applyBorder="1"/>
    <xf numFmtId="9" fontId="1" fillId="16" borderId="3" xfId="2" applyFont="1" applyFill="1" applyBorder="1"/>
    <xf numFmtId="9" fontId="1" fillId="16" borderId="6" xfId="2" applyFont="1" applyFill="1" applyBorder="1"/>
    <xf numFmtId="0" fontId="3" fillId="6" borderId="3" xfId="1" applyNumberFormat="1" applyFont="1" applyFill="1" applyBorder="1"/>
    <xf numFmtId="0" fontId="3" fillId="6" borderId="6" xfId="0" applyFont="1" applyFill="1" applyBorder="1"/>
    <xf numFmtId="44" fontId="8" fillId="0" borderId="0" xfId="1" applyNumberFormat="1" applyFont="1" applyBorder="1" applyAlignment="1">
      <alignment horizontal="center" wrapText="1"/>
    </xf>
    <xf numFmtId="9" fontId="0" fillId="16" borderId="30" xfId="2" applyFont="1" applyFill="1" applyBorder="1"/>
    <xf numFmtId="9" fontId="0" fillId="16" borderId="25" xfId="2" applyFont="1" applyFill="1" applyBorder="1"/>
    <xf numFmtId="0" fontId="1" fillId="16" borderId="2" xfId="1" applyNumberFormat="1" applyFont="1" applyFill="1" applyBorder="1" applyAlignment="1">
      <alignment horizontal="center"/>
    </xf>
    <xf numFmtId="0" fontId="1" fillId="16" borderId="4" xfId="0" applyFont="1" applyFill="1" applyBorder="1"/>
    <xf numFmtId="0" fontId="1" fillId="16" borderId="5" xfId="0" applyFont="1" applyFill="1" applyBorder="1"/>
    <xf numFmtId="0" fontId="1" fillId="16" borderId="6" xfId="0" applyFont="1" applyFill="1" applyBorder="1"/>
    <xf numFmtId="0" fontId="0" fillId="17" borderId="24" xfId="0" applyFill="1" applyBorder="1"/>
    <xf numFmtId="9" fontId="0" fillId="17" borderId="30" xfId="2" applyFont="1" applyFill="1" applyBorder="1"/>
    <xf numFmtId="9" fontId="0" fillId="17" borderId="25" xfId="2" applyFont="1" applyFill="1" applyBorder="1"/>
    <xf numFmtId="0" fontId="7" fillId="17" borderId="26" xfId="0" applyFont="1" applyFill="1" applyBorder="1"/>
    <xf numFmtId="0" fontId="1" fillId="17" borderId="41" xfId="1" applyNumberFormat="1" applyFont="1" applyFill="1" applyBorder="1" applyAlignment="1">
      <alignment horizontal="center"/>
    </xf>
    <xf numFmtId="165" fontId="1" fillId="17" borderId="41" xfId="1" applyNumberFormat="1" applyFont="1" applyFill="1" applyBorder="1" applyAlignment="1">
      <alignment horizontal="center"/>
    </xf>
    <xf numFmtId="165" fontId="1" fillId="17" borderId="27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35" xfId="0" applyFill="1" applyBorder="1"/>
    <xf numFmtId="0" fontId="0" fillId="2" borderId="3" xfId="0" applyFill="1" applyBorder="1"/>
    <xf numFmtId="0" fontId="0" fillId="2" borderId="4" xfId="0" applyFill="1" applyBorder="1"/>
    <xf numFmtId="2" fontId="1" fillId="2" borderId="5" xfId="1" applyNumberFormat="1" applyFont="1" applyFill="1" applyBorder="1"/>
    <xf numFmtId="2" fontId="1" fillId="2" borderId="6" xfId="1" applyNumberFormat="1" applyFont="1" applyFill="1" applyBorder="1"/>
    <xf numFmtId="0" fontId="7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25" xfId="0" applyFill="1" applyBorder="1"/>
    <xf numFmtId="0" fontId="1" fillId="2" borderId="3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6" fillId="14" borderId="32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0" fillId="16" borderId="13" xfId="0" applyFill="1" applyBorder="1" applyAlignment="1">
      <alignment horizontal="right"/>
    </xf>
    <xf numFmtId="0" fontId="0" fillId="16" borderId="34" xfId="0" applyFill="1" applyBorder="1" applyAlignment="1">
      <alignment horizontal="right"/>
    </xf>
    <xf numFmtId="0" fontId="7" fillId="16" borderId="19" xfId="0" applyFont="1" applyFill="1" applyBorder="1" applyAlignment="1">
      <alignment horizontal="center"/>
    </xf>
    <xf numFmtId="0" fontId="7" fillId="16" borderId="20" xfId="0" applyFont="1" applyFill="1" applyBorder="1" applyAlignment="1">
      <alignment horizontal="center"/>
    </xf>
    <xf numFmtId="0" fontId="7" fillId="16" borderId="17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center"/>
    </xf>
    <xf numFmtId="0" fontId="1" fillId="16" borderId="32" xfId="0" applyFont="1" applyFill="1" applyBorder="1" applyAlignment="1">
      <alignment horizontal="right"/>
    </xf>
    <xf numFmtId="0" fontId="1" fillId="16" borderId="36" xfId="0" applyFont="1" applyFill="1" applyBorder="1" applyAlignment="1">
      <alignment horizontal="right"/>
    </xf>
    <xf numFmtId="0" fontId="0" fillId="16" borderId="40" xfId="0" applyFill="1" applyBorder="1" applyAlignment="1">
      <alignment horizontal="right"/>
    </xf>
    <xf numFmtId="0" fontId="0" fillId="16" borderId="37" xfId="0" applyFill="1" applyBorder="1" applyAlignment="1">
      <alignment horizontal="right"/>
    </xf>
    <xf numFmtId="0" fontId="1" fillId="16" borderId="40" xfId="0" applyFont="1" applyFill="1" applyBorder="1" applyAlignment="1">
      <alignment horizontal="right"/>
    </xf>
    <xf numFmtId="0" fontId="1" fillId="16" borderId="37" xfId="0" applyFont="1" applyFill="1" applyBorder="1" applyAlignment="1">
      <alignment horizontal="right"/>
    </xf>
    <xf numFmtId="0" fontId="0" fillId="16" borderId="9" xfId="0" applyFill="1" applyBorder="1" applyAlignment="1">
      <alignment horizontal="right"/>
    </xf>
    <xf numFmtId="0" fontId="0" fillId="16" borderId="1" xfId="0" applyFill="1" applyBorder="1" applyAlignment="1">
      <alignment horizontal="right"/>
    </xf>
    <xf numFmtId="0" fontId="1" fillId="16" borderId="9" xfId="0" applyFont="1" applyFill="1" applyBorder="1" applyAlignment="1">
      <alignment horizontal="right"/>
    </xf>
    <xf numFmtId="0" fontId="1" fillId="16" borderId="1" xfId="0" applyFont="1" applyFill="1" applyBorder="1" applyAlignment="1">
      <alignment horizontal="right"/>
    </xf>
    <xf numFmtId="0" fontId="15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66"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66FF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colors>
    <mruColors>
      <color rgb="FFFFFF99"/>
      <color rgb="FFFF66FF"/>
      <color rgb="FFFFFF66"/>
      <color rgb="FFF5F7D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90529308836397"/>
          <c:y val="5.6030183727034118E-2"/>
          <c:w val="0.60796959755030611"/>
          <c:h val="0.82798993875765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FMC!$A$2</c:f>
              <c:strCache>
                <c:ptCount val="1"/>
                <c:pt idx="0">
                  <c:v>Facilitations Average Cost</c:v>
                </c:pt>
              </c:strCache>
            </c:strRef>
          </c:tx>
          <c:invertIfNegative val="0"/>
          <c:cat>
            <c:strRef>
              <c:f>FMC!$B$1:$E$1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FMC!$B$2:$E$2</c:f>
              <c:numCache>
                <c:formatCode>_("$"* #,##0.00_);_("$"* \(#,##0.00\);_("$"* "-"??_);_(@_)</c:formatCode>
                <c:ptCount val="4"/>
                <c:pt idx="0">
                  <c:v>658.9</c:v>
                </c:pt>
                <c:pt idx="1">
                  <c:v>702.62</c:v>
                </c:pt>
                <c:pt idx="2">
                  <c:v>769.11</c:v>
                </c:pt>
                <c:pt idx="3">
                  <c:v>792.70983050847451</c:v>
                </c:pt>
              </c:numCache>
            </c:numRef>
          </c:val>
        </c:ser>
        <c:ser>
          <c:idx val="1"/>
          <c:order val="1"/>
          <c:tx>
            <c:strRef>
              <c:f>FMC!$A$7</c:f>
              <c:strCache>
                <c:ptCount val="1"/>
                <c:pt idx="0">
                  <c:v>Mediations Average Cost</c:v>
                </c:pt>
              </c:strCache>
            </c:strRef>
          </c:tx>
          <c:invertIfNegative val="0"/>
          <c:cat>
            <c:strRef>
              <c:f>FMC!$B$1:$E$1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FMC!$B$7:$E$7</c:f>
              <c:numCache>
                <c:formatCode>_("$"* #,##0.00_);_("$"* \(#,##0.00\);_("$"* "-"??_);_(@_)</c:formatCode>
                <c:ptCount val="4"/>
                <c:pt idx="0" formatCode="&quot;$&quot;#,##0.00">
                  <c:v>575.35</c:v>
                </c:pt>
                <c:pt idx="1">
                  <c:v>819.54</c:v>
                </c:pt>
                <c:pt idx="2">
                  <c:v>506.26428571427999</c:v>
                </c:pt>
                <c:pt idx="3">
                  <c:v>1056.83</c:v>
                </c:pt>
              </c:numCache>
            </c:numRef>
          </c:val>
        </c:ser>
        <c:ser>
          <c:idx val="2"/>
          <c:order val="2"/>
          <c:tx>
            <c:strRef>
              <c:f>FMC!$A$12</c:f>
              <c:strCache>
                <c:ptCount val="1"/>
                <c:pt idx="0">
                  <c:v>Complaints Average Cost</c:v>
                </c:pt>
              </c:strCache>
            </c:strRef>
          </c:tx>
          <c:invertIfNegative val="0"/>
          <c:cat>
            <c:strRef>
              <c:f>FMC!$B$1:$E$1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FMC!$B$12:$E$12</c:f>
              <c:numCache>
                <c:formatCode>_("$"* #,##0.00_);_("$"* \(#,##0.00\);_("$"* "-"??_);_(@_)</c:formatCode>
                <c:ptCount val="4"/>
                <c:pt idx="0">
                  <c:v>2396.71</c:v>
                </c:pt>
                <c:pt idx="1">
                  <c:v>2906.52</c:v>
                </c:pt>
                <c:pt idx="2">
                  <c:v>3668.65</c:v>
                </c:pt>
                <c:pt idx="3">
                  <c:v>4242.3999999999996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0864"/>
        <c:axId val="42982784"/>
      </c:barChart>
      <c:catAx>
        <c:axId val="4298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42982784"/>
        <c:crosses val="autoZero"/>
        <c:auto val="1"/>
        <c:lblAlgn val="ctr"/>
        <c:lblOffset val="100"/>
        <c:noMultiLvlLbl val="0"/>
      </c:catAx>
      <c:valAx>
        <c:axId val="4298278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2980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65266841644789"/>
          <c:y val="7.8127734033245855E-2"/>
          <c:w val="0.17868066491688539"/>
          <c:h val="0.894670093321668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4144011444297E-2"/>
          <c:y val="6.0659813356663747E-2"/>
          <c:w val="0.70383129360562036"/>
          <c:h val="0.832619568387284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FMC!$A$3</c:f>
              <c:strCache>
                <c:ptCount val="1"/>
                <c:pt idx="0">
                  <c:v>Number of Facilitations Requested</c:v>
                </c:pt>
              </c:strCache>
            </c:strRef>
          </c:tx>
          <c:invertIfNegative val="0"/>
          <c:cat>
            <c:strRef>
              <c:f>FMC!$B$1:$E$1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FMC!$B$3:$E$3</c:f>
              <c:numCache>
                <c:formatCode>General</c:formatCode>
                <c:ptCount val="4"/>
                <c:pt idx="0">
                  <c:v>65</c:v>
                </c:pt>
                <c:pt idx="1">
                  <c:v>103</c:v>
                </c:pt>
                <c:pt idx="2">
                  <c:v>131</c:v>
                </c:pt>
                <c:pt idx="3">
                  <c:v>168</c:v>
                </c:pt>
              </c:numCache>
            </c:numRef>
          </c:val>
        </c:ser>
        <c:ser>
          <c:idx val="2"/>
          <c:order val="1"/>
          <c:tx>
            <c:strRef>
              <c:f>FMC!$A$8</c:f>
              <c:strCache>
                <c:ptCount val="1"/>
                <c:pt idx="0">
                  <c:v>Number of Mediations Requested</c:v>
                </c:pt>
              </c:strCache>
            </c:strRef>
          </c:tx>
          <c:invertIfNegative val="0"/>
          <c:cat>
            <c:strRef>
              <c:f>FMC!$B$1:$E$1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FMC!$B$8:$E$8</c:f>
              <c:numCache>
                <c:formatCode>General</c:formatCode>
                <c:ptCount val="4"/>
                <c:pt idx="0">
                  <c:v>27</c:v>
                </c:pt>
                <c:pt idx="1">
                  <c:v>29</c:v>
                </c:pt>
                <c:pt idx="2">
                  <c:v>15</c:v>
                </c:pt>
                <c:pt idx="3">
                  <c:v>21</c:v>
                </c:pt>
              </c:numCache>
            </c:numRef>
          </c:val>
        </c:ser>
        <c:ser>
          <c:idx val="3"/>
          <c:order val="2"/>
          <c:tx>
            <c:strRef>
              <c:f>FMC!$A$13</c:f>
              <c:strCache>
                <c:ptCount val="1"/>
                <c:pt idx="0">
                  <c:v>Number of Complaints Requested</c:v>
                </c:pt>
              </c:strCache>
            </c:strRef>
          </c:tx>
          <c:invertIfNegative val="0"/>
          <c:cat>
            <c:strRef>
              <c:f>FMC!$B$1:$E$1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FMC!$B$13:$E$13</c:f>
              <c:numCache>
                <c:formatCode>General</c:formatCode>
                <c:ptCount val="4"/>
                <c:pt idx="0">
                  <c:v>21</c:v>
                </c:pt>
                <c:pt idx="1">
                  <c:v>27</c:v>
                </c:pt>
                <c:pt idx="2">
                  <c:v>25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5762944"/>
        <c:axId val="145764736"/>
        <c:axId val="0"/>
      </c:bar3DChart>
      <c:catAx>
        <c:axId val="14576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764736"/>
        <c:crosses val="autoZero"/>
        <c:auto val="1"/>
        <c:lblAlgn val="ctr"/>
        <c:lblOffset val="100"/>
        <c:noMultiLvlLbl val="0"/>
      </c:catAx>
      <c:valAx>
        <c:axId val="14576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762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81775137909247"/>
          <c:y val="6.366324001166522E-2"/>
          <c:w val="0.22251564708257618"/>
          <c:h val="0.645821668124817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075385361002535E-2"/>
          <c:y val="5.1400554097404488E-2"/>
          <c:w val="0.68909407906745468"/>
          <c:h val="0.739568022747156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FMC!$A$4</c:f>
              <c:strCache>
                <c:ptCount val="1"/>
                <c:pt idx="0">
                  <c:v>Number of Facilitations Completed</c:v>
                </c:pt>
              </c:strCache>
            </c:strRef>
          </c:tx>
          <c:invertIfNegative val="0"/>
          <c:cat>
            <c:strRef>
              <c:f>FMC!$B$1:$E$1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FMC!$B$4:$E$4</c:f>
              <c:numCache>
                <c:formatCode>General</c:formatCode>
                <c:ptCount val="4"/>
                <c:pt idx="0">
                  <c:v>52</c:v>
                </c:pt>
                <c:pt idx="1">
                  <c:v>84</c:v>
                </c:pt>
                <c:pt idx="2">
                  <c:v>106</c:v>
                </c:pt>
                <c:pt idx="3">
                  <c:v>127</c:v>
                </c:pt>
              </c:numCache>
            </c:numRef>
          </c:val>
        </c:ser>
        <c:ser>
          <c:idx val="1"/>
          <c:order val="1"/>
          <c:tx>
            <c:strRef>
              <c:f>FMC!$A$9</c:f>
              <c:strCache>
                <c:ptCount val="1"/>
                <c:pt idx="0">
                  <c:v>Number of Mediations Completed</c:v>
                </c:pt>
              </c:strCache>
            </c:strRef>
          </c:tx>
          <c:invertIfNegative val="0"/>
          <c:cat>
            <c:strRef>
              <c:f>FMC!$B$1:$E$1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FMC!$B$9:$E$9</c:f>
              <c:numCache>
                <c:formatCode>General</c:formatCode>
                <c:ptCount val="4"/>
                <c:pt idx="0">
                  <c:v>17</c:v>
                </c:pt>
                <c:pt idx="1">
                  <c:v>16</c:v>
                </c:pt>
                <c:pt idx="2">
                  <c:v>10</c:v>
                </c:pt>
                <c:pt idx="3">
                  <c:v>14</c:v>
                </c:pt>
              </c:numCache>
            </c:numRef>
          </c:val>
        </c:ser>
        <c:ser>
          <c:idx val="2"/>
          <c:order val="2"/>
          <c:tx>
            <c:strRef>
              <c:f>FMC!$A$14</c:f>
              <c:strCache>
                <c:ptCount val="1"/>
                <c:pt idx="0">
                  <c:v>Number of Complaints Completed (Final Report) </c:v>
                </c:pt>
              </c:strCache>
            </c:strRef>
          </c:tx>
          <c:invertIfNegative val="0"/>
          <c:cat>
            <c:strRef>
              <c:f>FMC!$B$1:$E$1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FMC!$B$14:$E$14</c:f>
              <c:numCache>
                <c:formatCode>General</c:formatCode>
                <c:ptCount val="4"/>
                <c:pt idx="0">
                  <c:v>13</c:v>
                </c:pt>
                <c:pt idx="1">
                  <c:v>20</c:v>
                </c:pt>
                <c:pt idx="2">
                  <c:v>18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5778560"/>
        <c:axId val="145780096"/>
        <c:axId val="0"/>
      </c:bar3DChart>
      <c:catAx>
        <c:axId val="14577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780096"/>
        <c:crosses val="autoZero"/>
        <c:auto val="1"/>
        <c:lblAlgn val="ctr"/>
        <c:lblOffset val="100"/>
        <c:noMultiLvlLbl val="0"/>
      </c:catAx>
      <c:valAx>
        <c:axId val="14578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77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83293259671214"/>
          <c:y val="4.0787583212998031E-2"/>
          <c:w val="0.22360841258479053"/>
          <c:h val="0.880781204432779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00305657995283"/>
          <c:y val="4.0013492289367444E-2"/>
          <c:w val="0.53743792152563208"/>
          <c:h val="0.7627161708953047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FMC!$A$5</c:f>
              <c:strCache>
                <c:ptCount val="1"/>
                <c:pt idx="0">
                  <c:v>Facilitation Min.</c:v>
                </c:pt>
              </c:strCache>
            </c:strRef>
          </c:tx>
          <c:invertIfNegative val="0"/>
          <c:cat>
            <c:multiLvlStrRef>
              <c:f>FMC!#REF!</c:f>
            </c:multiLvlStrRef>
          </c:cat>
          <c:val>
            <c:numRef>
              <c:f>FMC!$B$5:$E$5</c:f>
              <c:numCache>
                <c:formatCode>_("$"* #,##0.00_);_("$"* \(#,##0.00\);_("$"* "-"??_);_(@_)</c:formatCode>
                <c:ptCount val="4"/>
                <c:pt idx="0">
                  <c:v>173.75</c:v>
                </c:pt>
                <c:pt idx="1">
                  <c:v>111</c:v>
                </c:pt>
                <c:pt idx="2">
                  <c:v>237.25</c:v>
                </c:pt>
                <c:pt idx="3">
                  <c:v>211.25</c:v>
                </c:pt>
              </c:numCache>
            </c:numRef>
          </c:val>
        </c:ser>
        <c:ser>
          <c:idx val="1"/>
          <c:order val="1"/>
          <c:tx>
            <c:strRef>
              <c:f>FMC!$A$6</c:f>
              <c:strCache>
                <c:ptCount val="1"/>
                <c:pt idx="0">
                  <c:v>Facilitation Max. </c:v>
                </c:pt>
              </c:strCache>
            </c:strRef>
          </c:tx>
          <c:invertIfNegative val="0"/>
          <c:cat>
            <c:multiLvlStrRef>
              <c:f>FMC!#REF!</c:f>
            </c:multiLvlStrRef>
          </c:cat>
          <c:val>
            <c:numRef>
              <c:f>FMC!$B$6:$E$6</c:f>
              <c:numCache>
                <c:formatCode>_("$"* #,##0.00_);_("$"* \(#,##0.00\);_("$"* "-"??_);_(@_)</c:formatCode>
                <c:ptCount val="4"/>
                <c:pt idx="0">
                  <c:v>2121.6</c:v>
                </c:pt>
                <c:pt idx="1">
                  <c:v>3462</c:v>
                </c:pt>
                <c:pt idx="2">
                  <c:v>2084.1799999999998</c:v>
                </c:pt>
                <c:pt idx="3">
                  <c:v>3014.76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5809792"/>
        <c:axId val="145811328"/>
        <c:axId val="150666304"/>
      </c:bar3DChart>
      <c:catAx>
        <c:axId val="14580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811328"/>
        <c:crosses val="autoZero"/>
        <c:auto val="1"/>
        <c:lblAlgn val="ctr"/>
        <c:lblOffset val="100"/>
        <c:noMultiLvlLbl val="0"/>
      </c:catAx>
      <c:valAx>
        <c:axId val="14581132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45809792"/>
        <c:crosses val="autoZero"/>
        <c:crossBetween val="between"/>
      </c:valAx>
      <c:serAx>
        <c:axId val="15066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45811328"/>
        <c:crosses val="autoZero"/>
      </c:serAx>
    </c:plotArea>
    <c:legend>
      <c:legendPos val="r"/>
      <c:layout>
        <c:manualLayout>
          <c:xMode val="edge"/>
          <c:yMode val="edge"/>
          <c:x val="0.7431550549852155"/>
          <c:y val="9.6838363954505707E-2"/>
          <c:w val="0.24017834479550815"/>
          <c:h val="0.486878827646544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01640419947507"/>
          <c:y val="2.8252405949256341E-2"/>
          <c:w val="0.5136846019247594"/>
          <c:h val="0.739568022747156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FMC!$A$10</c:f>
              <c:strCache>
                <c:ptCount val="1"/>
                <c:pt idx="0">
                  <c:v>Mediation Min.</c:v>
                </c:pt>
              </c:strCache>
            </c:strRef>
          </c:tx>
          <c:invertIfNegative val="0"/>
          <c:cat>
            <c:multiLvlStrRef>
              <c:f>FMC!#REF!</c:f>
            </c:multiLvlStrRef>
          </c:cat>
          <c:val>
            <c:numRef>
              <c:f>FMC!$B$10:$E$10</c:f>
              <c:numCache>
                <c:formatCode>_("$"* #,##0.00_);_("$"* \(#,##0.00\);_("$"* "-"??_);_(@_)</c:formatCode>
                <c:ptCount val="4"/>
                <c:pt idx="0">
                  <c:v>262.5</c:v>
                </c:pt>
                <c:pt idx="1">
                  <c:v>281.5</c:v>
                </c:pt>
                <c:pt idx="2">
                  <c:v>274.37</c:v>
                </c:pt>
                <c:pt idx="3">
                  <c:v>530.27</c:v>
                </c:pt>
              </c:numCache>
            </c:numRef>
          </c:val>
        </c:ser>
        <c:ser>
          <c:idx val="1"/>
          <c:order val="1"/>
          <c:tx>
            <c:strRef>
              <c:f>FMC!$A$11</c:f>
              <c:strCache>
                <c:ptCount val="1"/>
                <c:pt idx="0">
                  <c:v>Mediation Max. </c:v>
                </c:pt>
              </c:strCache>
            </c:strRef>
          </c:tx>
          <c:invertIfNegative val="0"/>
          <c:cat>
            <c:multiLvlStrRef>
              <c:f>FMC!#REF!</c:f>
            </c:multiLvlStrRef>
          </c:cat>
          <c:val>
            <c:numRef>
              <c:f>FMC!$B$11:$E$11</c:f>
              <c:numCache>
                <c:formatCode>_("$"* #,##0.00_);_("$"* \(#,##0.00\);_("$"* "-"??_);_(@_)</c:formatCode>
                <c:ptCount val="4"/>
                <c:pt idx="0">
                  <c:v>1223.7</c:v>
                </c:pt>
                <c:pt idx="1">
                  <c:v>2844.22</c:v>
                </c:pt>
                <c:pt idx="2">
                  <c:v>776.7</c:v>
                </c:pt>
                <c:pt idx="3">
                  <c:v>1706.07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5825792"/>
        <c:axId val="145827328"/>
        <c:axId val="151481408"/>
      </c:bar3DChart>
      <c:catAx>
        <c:axId val="14582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827328"/>
        <c:crosses val="autoZero"/>
        <c:auto val="1"/>
        <c:lblAlgn val="ctr"/>
        <c:lblOffset val="100"/>
        <c:noMultiLvlLbl val="0"/>
      </c:catAx>
      <c:valAx>
        <c:axId val="14582732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45825792"/>
        <c:crosses val="autoZero"/>
        <c:crossBetween val="between"/>
      </c:valAx>
      <c:serAx>
        <c:axId val="15148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45827328"/>
        <c:crosses val="autoZero"/>
      </c:serAx>
    </c:plotArea>
    <c:legend>
      <c:legendPos val="r"/>
      <c:layout>
        <c:manualLayout>
          <c:xMode val="edge"/>
          <c:yMode val="edge"/>
          <c:x val="0.80072287839020129"/>
          <c:y val="0.10146799358413532"/>
          <c:w val="0.18261045494313208"/>
          <c:h val="0.482249198016914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94309487909755"/>
          <c:y val="2.7770292931406638E-2"/>
          <c:w val="0.48048830066454457"/>
          <c:h val="0.8489743530942832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FMC!$A$15</c:f>
              <c:strCache>
                <c:ptCount val="1"/>
                <c:pt idx="0">
                  <c:v>Complaint Min. </c:v>
                </c:pt>
              </c:strCache>
            </c:strRef>
          </c:tx>
          <c:invertIfNegative val="0"/>
          <c:cat>
            <c:multiLvlStrRef>
              <c:f>FMC!#REF!</c:f>
            </c:multiLvlStrRef>
          </c:cat>
          <c:val>
            <c:numRef>
              <c:f>FMC!$B$15:$E$15</c:f>
              <c:numCache>
                <c:formatCode>_("$"* #,##0.00_);_("$"* \(#,##0.00\);_("$"* "-"??_);_(@_)</c:formatCode>
                <c:ptCount val="4"/>
                <c:pt idx="0">
                  <c:v>455</c:v>
                </c:pt>
                <c:pt idx="1">
                  <c:v>690</c:v>
                </c:pt>
                <c:pt idx="2">
                  <c:v>1592.25</c:v>
                </c:pt>
                <c:pt idx="3">
                  <c:v>1455</c:v>
                </c:pt>
              </c:numCache>
            </c:numRef>
          </c:val>
        </c:ser>
        <c:ser>
          <c:idx val="1"/>
          <c:order val="1"/>
          <c:tx>
            <c:strRef>
              <c:f>FMC!$A$16</c:f>
              <c:strCache>
                <c:ptCount val="1"/>
                <c:pt idx="0">
                  <c:v>Complaint Max. </c:v>
                </c:pt>
              </c:strCache>
            </c:strRef>
          </c:tx>
          <c:invertIfNegative val="0"/>
          <c:cat>
            <c:multiLvlStrRef>
              <c:f>FMC!#REF!</c:f>
            </c:multiLvlStrRef>
          </c:cat>
          <c:val>
            <c:numRef>
              <c:f>FMC!$B$16:$E$16</c:f>
              <c:numCache>
                <c:formatCode>_("$"* #,##0.00_);_("$"* \(#,##0.00\);_("$"* "-"??_);_(@_)</c:formatCode>
                <c:ptCount val="4"/>
                <c:pt idx="0">
                  <c:v>5447.95</c:v>
                </c:pt>
                <c:pt idx="1">
                  <c:v>6142.62</c:v>
                </c:pt>
                <c:pt idx="2">
                  <c:v>9600.16</c:v>
                </c:pt>
                <c:pt idx="3">
                  <c:v>15169.98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5849728"/>
        <c:axId val="145851520"/>
        <c:axId val="168260928"/>
      </c:bar3DChart>
      <c:catAx>
        <c:axId val="14584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851520"/>
        <c:crosses val="autoZero"/>
        <c:auto val="1"/>
        <c:lblAlgn val="ctr"/>
        <c:lblOffset val="100"/>
        <c:noMultiLvlLbl val="0"/>
      </c:catAx>
      <c:valAx>
        <c:axId val="14585152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45849728"/>
        <c:crosses val="autoZero"/>
        <c:crossBetween val="between"/>
      </c:valAx>
      <c:serAx>
        <c:axId val="168260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5851520"/>
        <c:crosses val="autoZero"/>
      </c:serAx>
    </c:plotArea>
    <c:legend>
      <c:legendPos val="r"/>
      <c:layout>
        <c:manualLayout>
          <c:xMode val="edge"/>
          <c:yMode val="edge"/>
          <c:x val="0.78874015748031501"/>
          <c:y val="0.25843944297454807"/>
          <c:w val="0.19423844746679392"/>
          <c:h val="0.323849157094822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991938311948522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97069116360445E-2"/>
          <c:y val="3.7037037037037035E-2"/>
          <c:w val="0.85966404199475066"/>
          <c:h val="0.83309419655876349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F!$D$7</c:f>
              <c:strCache>
                <c:ptCount val="1"/>
                <c:pt idx="0">
                  <c:v>BY MONTH</c:v>
                </c:pt>
              </c:strCache>
            </c:strRef>
          </c:tx>
          <c:invertIfNegative val="0"/>
          <c:cat>
            <c:strRef>
              <c:f>F!$D$8:$D$19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F!$E$8:$E$19</c:f>
              <c:numCache>
                <c:formatCode>General</c:formatCode>
                <c:ptCount val="12"/>
                <c:pt idx="0">
                  <c:v>2</c:v>
                </c:pt>
                <c:pt idx="1">
                  <c:v>12</c:v>
                </c:pt>
                <c:pt idx="2">
                  <c:v>21</c:v>
                </c:pt>
                <c:pt idx="3">
                  <c:v>16</c:v>
                </c:pt>
                <c:pt idx="4">
                  <c:v>8</c:v>
                </c:pt>
                <c:pt idx="5">
                  <c:v>10</c:v>
                </c:pt>
                <c:pt idx="6">
                  <c:v>14</c:v>
                </c:pt>
                <c:pt idx="7">
                  <c:v>24</c:v>
                </c:pt>
                <c:pt idx="8">
                  <c:v>15</c:v>
                </c:pt>
                <c:pt idx="9">
                  <c:v>21</c:v>
                </c:pt>
                <c:pt idx="10">
                  <c:v>20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1768064"/>
        <c:axId val="61769984"/>
        <c:axId val="0"/>
      </c:bar3DChart>
      <c:catAx>
        <c:axId val="61768064"/>
        <c:scaling>
          <c:orientation val="minMax"/>
        </c:scaling>
        <c:delete val="0"/>
        <c:axPos val="l"/>
        <c:majorTickMark val="out"/>
        <c:minorTickMark val="none"/>
        <c:tickLblPos val="nextTo"/>
        <c:crossAx val="61769984"/>
        <c:crosses val="autoZero"/>
        <c:auto val="1"/>
        <c:lblAlgn val="ctr"/>
        <c:lblOffset val="100"/>
        <c:noMultiLvlLbl val="0"/>
      </c:catAx>
      <c:valAx>
        <c:axId val="617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176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F!$G$1:$H$1</c:f>
              <c:strCache>
                <c:ptCount val="1"/>
                <c:pt idx="0">
                  <c:v>BY FACILITATOR(S)</c:v>
                </c:pt>
              </c:strCache>
            </c:strRef>
          </c:tx>
          <c:invertIfNegative val="0"/>
          <c:cat>
            <c:strRef>
              <c:f>F!$G$2:$G$18</c:f>
              <c:strCache>
                <c:ptCount val="17"/>
                <c:pt idx="0">
                  <c:v>BH</c:v>
                </c:pt>
                <c:pt idx="1">
                  <c:v>BB</c:v>
                </c:pt>
                <c:pt idx="2">
                  <c:v>CT</c:v>
                </c:pt>
                <c:pt idx="3">
                  <c:v>CA</c:v>
                </c:pt>
                <c:pt idx="4">
                  <c:v>DM</c:v>
                </c:pt>
                <c:pt idx="5">
                  <c:v>EL</c:v>
                </c:pt>
                <c:pt idx="6">
                  <c:v>IC</c:v>
                </c:pt>
                <c:pt idx="7">
                  <c:v>JA</c:v>
                </c:pt>
                <c:pt idx="8">
                  <c:v>LL</c:v>
                </c:pt>
                <c:pt idx="9">
                  <c:v>LB</c:v>
                </c:pt>
                <c:pt idx="10">
                  <c:v>MB</c:v>
                </c:pt>
                <c:pt idx="11">
                  <c:v>MH</c:v>
                </c:pt>
                <c:pt idx="12">
                  <c:v>PHP</c:v>
                </c:pt>
                <c:pt idx="13">
                  <c:v>PF</c:v>
                </c:pt>
                <c:pt idx="14">
                  <c:v>PE</c:v>
                </c:pt>
                <c:pt idx="15">
                  <c:v>RLE</c:v>
                </c:pt>
                <c:pt idx="16">
                  <c:v>SH</c:v>
                </c:pt>
              </c:strCache>
            </c:strRef>
          </c:cat>
          <c:val>
            <c:numRef>
              <c:f>F!$H$2:$H$18</c:f>
              <c:numCache>
                <c:formatCode>General</c:formatCode>
                <c:ptCount val="17"/>
                <c:pt idx="0">
                  <c:v>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16</c:v>
                </c:pt>
                <c:pt idx="7">
                  <c:v>3</c:v>
                </c:pt>
                <c:pt idx="8">
                  <c:v>11</c:v>
                </c:pt>
                <c:pt idx="9">
                  <c:v>7</c:v>
                </c:pt>
                <c:pt idx="10">
                  <c:v>30</c:v>
                </c:pt>
                <c:pt idx="11">
                  <c:v>10</c:v>
                </c:pt>
                <c:pt idx="12">
                  <c:v>6</c:v>
                </c:pt>
                <c:pt idx="13">
                  <c:v>2</c:v>
                </c:pt>
                <c:pt idx="14">
                  <c:v>14</c:v>
                </c:pt>
                <c:pt idx="15">
                  <c:v>10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20544"/>
        <c:axId val="87216512"/>
      </c:barChart>
      <c:catAx>
        <c:axId val="6222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87216512"/>
        <c:crosses val="autoZero"/>
        <c:auto val="1"/>
        <c:lblAlgn val="ctr"/>
        <c:lblOffset val="100"/>
        <c:noMultiLvlLbl val="0"/>
      </c:catAx>
      <c:valAx>
        <c:axId val="8721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22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Faciliation Request Source 2014-15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F!$J$10:$K$10</c:f>
              <c:strCache>
                <c:ptCount val="1"/>
                <c:pt idx="0">
                  <c:v>REQUESTOR</c:v>
                </c:pt>
              </c:strCache>
            </c:strRef>
          </c:tx>
          <c:cat>
            <c:strRef>
              <c:f>F!$J$11:$J$13</c:f>
              <c:strCache>
                <c:ptCount val="3"/>
                <c:pt idx="0">
                  <c:v>Parent Request</c:v>
                </c:pt>
                <c:pt idx="1">
                  <c:v>District Request</c:v>
                </c:pt>
                <c:pt idx="2">
                  <c:v>SDE or Both Request</c:v>
                </c:pt>
              </c:strCache>
            </c:strRef>
          </c:cat>
          <c:val>
            <c:numRef>
              <c:f>F!$K$11:$K$13</c:f>
              <c:numCache>
                <c:formatCode>General</c:formatCode>
                <c:ptCount val="3"/>
                <c:pt idx="0">
                  <c:v>69</c:v>
                </c:pt>
                <c:pt idx="1">
                  <c:v>61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Facilitation</a:t>
            </a:r>
            <a:r>
              <a:rPr lang="en-US" sz="1400" baseline="0"/>
              <a:t> Outcome</a:t>
            </a:r>
            <a:endParaRPr lang="en-US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F!$A$13:$B$13</c:f>
              <c:strCache>
                <c:ptCount val="1"/>
                <c:pt idx="0">
                  <c:v>CASE OUTCOME SUMMARY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F!$A$21:$A$22</c:f>
              <c:strCache>
                <c:ptCount val="2"/>
                <c:pt idx="0">
                  <c:v>Agreements</c:v>
                </c:pt>
                <c:pt idx="1">
                  <c:v>Non Agreements</c:v>
                </c:pt>
              </c:strCache>
            </c:strRef>
          </c:cat>
          <c:val>
            <c:numRef>
              <c:f>F!$B$21:$B$22</c:f>
              <c:numCache>
                <c:formatCode>General</c:formatCode>
                <c:ptCount val="2"/>
                <c:pt idx="0">
                  <c:v>116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563041864664872"/>
          <c:y val="0.15813628559587947"/>
          <c:w val="0.30487804878048785"/>
          <c:h val="0.52782930499033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Facilitation Status</a:t>
            </a:r>
            <a:r>
              <a:rPr lang="en-US" sz="1600" baseline="0"/>
              <a:t> </a:t>
            </a:r>
            <a:r>
              <a:rPr lang="en-US" sz="1600"/>
              <a:t>2014-15</a:t>
            </a:r>
          </a:p>
        </c:rich>
      </c:tx>
      <c:layout>
        <c:manualLayout>
          <c:xMode val="edge"/>
          <c:yMode val="edge"/>
          <c:x val="4.8603174603174613E-2"/>
          <c:y val="2.84697508896797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2682919982595759E-2"/>
          <c:y val="0.13739269576369242"/>
          <c:w val="0.49242410206745546"/>
          <c:h val="0.8626073042363076"/>
        </c:manualLayout>
      </c:layout>
      <c:pieChart>
        <c:varyColors val="1"/>
        <c:ser>
          <c:idx val="0"/>
          <c:order val="0"/>
          <c:tx>
            <c:strRef>
              <c:f>F!$J$10:$K$10</c:f>
              <c:strCache>
                <c:ptCount val="1"/>
                <c:pt idx="0">
                  <c:v>REQUESTOR</c:v>
                </c:pt>
              </c:strCache>
            </c:strRef>
          </c:tx>
          <c:cat>
            <c:strRef>
              <c:f>F!$A$7:$A$11</c:f>
              <c:strCache>
                <c:ptCount val="5"/>
                <c:pt idx="0">
                  <c:v>Number Requested</c:v>
                </c:pt>
                <c:pt idx="1">
                  <c:v>Number Accepted (A)</c:v>
                </c:pt>
                <c:pt idx="2">
                  <c:v>Number Denied (D)</c:v>
                </c:pt>
                <c:pt idx="3">
                  <c:v>Number Withdrawn (W)</c:v>
                </c:pt>
                <c:pt idx="4">
                  <c:v>Number Pending Agreement (P)</c:v>
                </c:pt>
              </c:strCache>
            </c:strRef>
          </c:cat>
          <c:val>
            <c:numRef>
              <c:f>F!$B$7:$B$11</c:f>
              <c:numCache>
                <c:formatCode>General</c:formatCode>
                <c:ptCount val="5"/>
                <c:pt idx="0">
                  <c:v>168</c:v>
                </c:pt>
                <c:pt idx="1">
                  <c:v>127</c:v>
                </c:pt>
                <c:pt idx="2">
                  <c:v>14</c:v>
                </c:pt>
                <c:pt idx="3">
                  <c:v>27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45119566712837"/>
          <c:y val="8.6850268118399063E-2"/>
          <c:w val="0.34640500451340794"/>
          <c:h val="0.913149731881600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Facilitations by Region 2014-15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F!$J$1:$K$1</c:f>
              <c:strCache>
                <c:ptCount val="1"/>
                <c:pt idx="0">
                  <c:v>BY REGION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F!$J$2:$J$7</c:f>
              <c:strCache>
                <c:ptCount val="6"/>
                <c:pt idx="0">
                  <c:v>Region 1</c:v>
                </c:pt>
                <c:pt idx="1">
                  <c:v>Region 2</c:v>
                </c:pt>
                <c:pt idx="2">
                  <c:v>Region 3</c:v>
                </c:pt>
                <c:pt idx="3">
                  <c:v> Region 4</c:v>
                </c:pt>
                <c:pt idx="4">
                  <c:v>Region 5</c:v>
                </c:pt>
                <c:pt idx="5">
                  <c:v>Region 6</c:v>
                </c:pt>
              </c:strCache>
            </c:strRef>
          </c:cat>
          <c:val>
            <c:numRef>
              <c:f>F!$K$2:$K$7</c:f>
              <c:numCache>
                <c:formatCode>General</c:formatCode>
                <c:ptCount val="6"/>
                <c:pt idx="0">
                  <c:v>19</c:v>
                </c:pt>
                <c:pt idx="1">
                  <c:v>12</c:v>
                </c:pt>
                <c:pt idx="2">
                  <c:v>99</c:v>
                </c:pt>
                <c:pt idx="3">
                  <c:v>17</c:v>
                </c:pt>
                <c:pt idx="4">
                  <c:v>8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FMC!$A$35</c:f>
              <c:strCache>
                <c:ptCount val="1"/>
                <c:pt idx="0">
                  <c:v>Facilitations Cplt/Rqt</c:v>
                </c:pt>
              </c:strCache>
            </c:strRef>
          </c:tx>
          <c:invertIfNegative val="0"/>
          <c:cat>
            <c:strRef>
              <c:f>FMC!$B$34:$E$34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FMC!$B$35:$E$35</c:f>
              <c:numCache>
                <c:formatCode>0%</c:formatCode>
                <c:ptCount val="4"/>
                <c:pt idx="0">
                  <c:v>0.8</c:v>
                </c:pt>
                <c:pt idx="1">
                  <c:v>0.81553398058252424</c:v>
                </c:pt>
                <c:pt idx="2">
                  <c:v>0.80916030534351147</c:v>
                </c:pt>
                <c:pt idx="3">
                  <c:v>0.75595238095238093</c:v>
                </c:pt>
              </c:numCache>
            </c:numRef>
          </c:val>
        </c:ser>
        <c:ser>
          <c:idx val="1"/>
          <c:order val="1"/>
          <c:tx>
            <c:strRef>
              <c:f>FMC!$A$36</c:f>
              <c:strCache>
                <c:ptCount val="1"/>
                <c:pt idx="0">
                  <c:v>Mediations Cplt/Rqt</c:v>
                </c:pt>
              </c:strCache>
            </c:strRef>
          </c:tx>
          <c:invertIfNegative val="0"/>
          <c:cat>
            <c:strRef>
              <c:f>FMC!$B$34:$E$34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FMC!$B$36:$E$36</c:f>
              <c:numCache>
                <c:formatCode>0%</c:formatCode>
                <c:ptCount val="4"/>
                <c:pt idx="0">
                  <c:v>0.62962962962962965</c:v>
                </c:pt>
                <c:pt idx="1">
                  <c:v>0.55172413793103448</c:v>
                </c:pt>
                <c:pt idx="2">
                  <c:v>0.66666666666666663</c:v>
                </c:pt>
                <c:pt idx="3">
                  <c:v>0.66666666666666663</c:v>
                </c:pt>
              </c:numCache>
            </c:numRef>
          </c:val>
        </c:ser>
        <c:ser>
          <c:idx val="2"/>
          <c:order val="2"/>
          <c:tx>
            <c:strRef>
              <c:f>FMC!$A$37</c:f>
              <c:strCache>
                <c:ptCount val="1"/>
                <c:pt idx="0">
                  <c:v>Complaints Cplt/Rqt</c:v>
                </c:pt>
              </c:strCache>
            </c:strRef>
          </c:tx>
          <c:invertIfNegative val="0"/>
          <c:cat>
            <c:strRef>
              <c:f>FMC!$B$34:$E$34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FMC!$B$37:$E$37</c:f>
              <c:numCache>
                <c:formatCode>0%</c:formatCode>
                <c:ptCount val="4"/>
                <c:pt idx="0">
                  <c:v>0.61904761904761907</c:v>
                </c:pt>
                <c:pt idx="1">
                  <c:v>0.7407407407407407</c:v>
                </c:pt>
                <c:pt idx="2">
                  <c:v>0.72</c:v>
                </c:pt>
                <c:pt idx="3">
                  <c:v>0.84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84640"/>
        <c:axId val="215128320"/>
      </c:barChart>
      <c:catAx>
        <c:axId val="21478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5128320"/>
        <c:crosses val="autoZero"/>
        <c:auto val="1"/>
        <c:lblAlgn val="ctr"/>
        <c:lblOffset val="100"/>
        <c:noMultiLvlLbl val="0"/>
      </c:catAx>
      <c:valAx>
        <c:axId val="215128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478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FMC!$A$17</c:f>
              <c:strCache>
                <c:ptCount val="1"/>
                <c:pt idx="0">
                  <c:v>Number all DR Requested</c:v>
                </c:pt>
              </c:strCache>
            </c:strRef>
          </c:tx>
          <c:invertIfNegative val="0"/>
          <c:cat>
            <c:strRef>
              <c:f>FMC!$B$1:$E$1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FMC!$B$17:$E$17</c:f>
              <c:numCache>
                <c:formatCode>General</c:formatCode>
                <c:ptCount val="4"/>
                <c:pt idx="0">
                  <c:v>113</c:v>
                </c:pt>
                <c:pt idx="1">
                  <c:v>159</c:v>
                </c:pt>
                <c:pt idx="2">
                  <c:v>171</c:v>
                </c:pt>
                <c:pt idx="3">
                  <c:v>214</c:v>
                </c:pt>
              </c:numCache>
            </c:numRef>
          </c:val>
        </c:ser>
        <c:ser>
          <c:idx val="1"/>
          <c:order val="1"/>
          <c:tx>
            <c:strRef>
              <c:f>FMC!$A$18</c:f>
              <c:strCache>
                <c:ptCount val="1"/>
                <c:pt idx="0">
                  <c:v>Number all DR Completed</c:v>
                </c:pt>
              </c:strCache>
            </c:strRef>
          </c:tx>
          <c:invertIfNegative val="0"/>
          <c:cat>
            <c:strRef>
              <c:f>FMC!$B$1:$E$1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FMC!$B$18:$E$18</c:f>
              <c:numCache>
                <c:formatCode>General</c:formatCode>
                <c:ptCount val="4"/>
                <c:pt idx="0">
                  <c:v>82</c:v>
                </c:pt>
                <c:pt idx="1">
                  <c:v>120</c:v>
                </c:pt>
                <c:pt idx="2">
                  <c:v>134</c:v>
                </c:pt>
                <c:pt idx="3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5948032"/>
        <c:axId val="145753216"/>
        <c:axId val="0"/>
      </c:bar3DChart>
      <c:catAx>
        <c:axId val="14594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753216"/>
        <c:crosses val="autoZero"/>
        <c:auto val="1"/>
        <c:lblAlgn val="ctr"/>
        <c:lblOffset val="100"/>
        <c:noMultiLvlLbl val="0"/>
      </c:catAx>
      <c:valAx>
        <c:axId val="14575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94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23175143647582"/>
          <c:y val="0.36272643393978482"/>
          <c:w val="0.21190016788441982"/>
          <c:h val="0.529381813621420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161925</xdr:rowOff>
    </xdr:from>
    <xdr:to>
      <xdr:col>8</xdr:col>
      <xdr:colOff>419100</xdr:colOff>
      <xdr:row>43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11</xdr:row>
      <xdr:rowOff>990600</xdr:rowOff>
    </xdr:from>
    <xdr:to>
      <xdr:col>18</xdr:col>
      <xdr:colOff>352424</xdr:colOff>
      <xdr:row>26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11</xdr:row>
      <xdr:rowOff>942975</xdr:rowOff>
    </xdr:from>
    <xdr:to>
      <xdr:col>9</xdr:col>
      <xdr:colOff>104776</xdr:colOff>
      <xdr:row>25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504824</xdr:colOff>
      <xdr:row>1</xdr:row>
      <xdr:rowOff>9523</xdr:rowOff>
    </xdr:from>
    <xdr:to>
      <xdr:col>18</xdr:col>
      <xdr:colOff>590550</xdr:colOff>
      <xdr:row>11</xdr:row>
      <xdr:rowOff>809625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</xdr:row>
      <xdr:rowOff>66675</xdr:rowOff>
    </xdr:from>
    <xdr:to>
      <xdr:col>6</xdr:col>
      <xdr:colOff>0</xdr:colOff>
      <xdr:row>11</xdr:row>
      <xdr:rowOff>828675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</xdr:colOff>
      <xdr:row>1</xdr:row>
      <xdr:rowOff>47625</xdr:rowOff>
    </xdr:from>
    <xdr:to>
      <xdr:col>12</xdr:col>
      <xdr:colOff>409575</xdr:colOff>
      <xdr:row>11</xdr:row>
      <xdr:rowOff>819150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47626</xdr:colOff>
      <xdr:row>1</xdr:row>
      <xdr:rowOff>47623</xdr:rowOff>
    </xdr:from>
    <xdr:to>
      <xdr:col>25</xdr:col>
      <xdr:colOff>142876</xdr:colOff>
      <xdr:row>11</xdr:row>
      <xdr:rowOff>714374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43</xdr:row>
      <xdr:rowOff>171450</xdr:rowOff>
    </xdr:from>
    <xdr:to>
      <xdr:col>7</xdr:col>
      <xdr:colOff>304800</xdr:colOff>
      <xdr:row>58</xdr:row>
      <xdr:rowOff>57150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238125</xdr:colOff>
      <xdr:row>27</xdr:row>
      <xdr:rowOff>180975</xdr:rowOff>
    </xdr:from>
    <xdr:to>
      <xdr:col>16</xdr:col>
      <xdr:colOff>200025</xdr:colOff>
      <xdr:row>42</xdr:row>
      <xdr:rowOff>133350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409575</xdr:colOff>
      <xdr:row>44</xdr:row>
      <xdr:rowOff>28575</xdr:rowOff>
    </xdr:from>
    <xdr:to>
      <xdr:col>13</xdr:col>
      <xdr:colOff>590550</xdr:colOff>
      <xdr:row>58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76200</xdr:colOff>
      <xdr:row>44</xdr:row>
      <xdr:rowOff>38099</xdr:rowOff>
    </xdr:from>
    <xdr:to>
      <xdr:col>20</xdr:col>
      <xdr:colOff>504825</xdr:colOff>
      <xdr:row>58</xdr:row>
      <xdr:rowOff>123824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57151</xdr:colOff>
      <xdr:row>58</xdr:row>
      <xdr:rowOff>161925</xdr:rowOff>
    </xdr:from>
    <xdr:to>
      <xdr:col>6</xdr:col>
      <xdr:colOff>466725</xdr:colOff>
      <xdr:row>73</xdr:row>
      <xdr:rowOff>142875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95249</xdr:colOff>
      <xdr:row>59</xdr:row>
      <xdr:rowOff>142875</xdr:rowOff>
    </xdr:from>
    <xdr:to>
      <xdr:col>14</xdr:col>
      <xdr:colOff>9524</xdr:colOff>
      <xdr:row>73</xdr:row>
      <xdr:rowOff>47625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114300</xdr:colOff>
      <xdr:row>59</xdr:row>
      <xdr:rowOff>133349</xdr:rowOff>
    </xdr:from>
    <xdr:to>
      <xdr:col>21</xdr:col>
      <xdr:colOff>457200</xdr:colOff>
      <xdr:row>73</xdr:row>
      <xdr:rowOff>85724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75"/>
  <sheetViews>
    <sheetView tabSelected="1" zoomScaleNormal="100" workbookViewId="0">
      <pane ySplit="1" topLeftCell="A2" activePane="bottomLeft" state="frozen"/>
      <selection pane="bottomLeft" activeCell="C174" sqref="C174"/>
    </sheetView>
  </sheetViews>
  <sheetFormatPr defaultColWidth="6.5546875" defaultRowHeight="14.4" x14ac:dyDescent="0.3"/>
  <cols>
    <col min="1" max="1" width="32.88671875" style="31" bestFit="1" customWidth="1"/>
    <col min="2" max="2" width="12.44140625" style="31" bestFit="1" customWidth="1"/>
    <col min="3" max="3" width="6" style="22" bestFit="1" customWidth="1"/>
    <col min="4" max="6" width="6.5546875" style="31"/>
    <col min="7" max="7" width="7.5546875" style="31" bestFit="1" customWidth="1"/>
    <col min="8" max="8" width="6.5546875" style="31"/>
    <col min="9" max="9" width="6.5546875" style="32"/>
    <col min="10" max="10" width="18.88671875" style="31" bestFit="1" customWidth="1"/>
    <col min="11" max="11" width="6.5546875" style="31"/>
    <col min="12" max="12" width="13.109375" style="33" bestFit="1" customWidth="1"/>
    <col min="13" max="13" width="6.5546875" style="31"/>
    <col min="14" max="14" width="12.44140625" style="31" bestFit="1" customWidth="1"/>
    <col min="15" max="15" width="15.109375" style="34" customWidth="1"/>
    <col min="16" max="16" width="11" style="34" customWidth="1"/>
    <col min="17" max="16384" width="6.5546875" style="31"/>
  </cols>
  <sheetData>
    <row r="1" spans="1:19" ht="60" x14ac:dyDescent="0.25">
      <c r="A1" s="25" t="s">
        <v>37</v>
      </c>
      <c r="B1" s="26" t="s">
        <v>23</v>
      </c>
      <c r="C1" s="27" t="s">
        <v>0</v>
      </c>
      <c r="D1" s="27" t="s">
        <v>24</v>
      </c>
      <c r="E1" s="27" t="s">
        <v>5</v>
      </c>
      <c r="F1" s="27" t="s">
        <v>25</v>
      </c>
      <c r="G1" s="27" t="s">
        <v>2</v>
      </c>
      <c r="H1" s="27" t="s">
        <v>27</v>
      </c>
      <c r="I1" s="28" t="s">
        <v>7</v>
      </c>
      <c r="J1" s="27" t="s">
        <v>6</v>
      </c>
      <c r="K1" s="27" t="s">
        <v>28</v>
      </c>
      <c r="L1" s="29" t="s">
        <v>30</v>
      </c>
      <c r="M1" s="27" t="s">
        <v>8</v>
      </c>
      <c r="N1" s="26" t="s">
        <v>1</v>
      </c>
      <c r="O1" s="30" t="s">
        <v>29</v>
      </c>
      <c r="P1" s="160" t="s">
        <v>366</v>
      </c>
      <c r="Q1" s="27" t="s">
        <v>26</v>
      </c>
      <c r="R1" s="27" t="s">
        <v>4</v>
      </c>
      <c r="S1" s="27" t="s">
        <v>3</v>
      </c>
    </row>
    <row r="2" spans="1:19" s="23" customFormat="1" ht="15" x14ac:dyDescent="0.25">
      <c r="A2" s="6"/>
      <c r="B2" s="6" t="s">
        <v>56</v>
      </c>
      <c r="C2" s="9" t="s">
        <v>39</v>
      </c>
      <c r="D2" s="6" t="s">
        <v>40</v>
      </c>
      <c r="E2" s="6" t="s">
        <v>40</v>
      </c>
      <c r="F2" s="6" t="s">
        <v>40</v>
      </c>
      <c r="G2" s="6" t="s">
        <v>383</v>
      </c>
      <c r="H2" s="6"/>
      <c r="I2" s="13">
        <v>2</v>
      </c>
      <c r="J2" s="6"/>
      <c r="K2" s="6" t="s">
        <v>51</v>
      </c>
      <c r="L2" s="7"/>
      <c r="M2" s="6"/>
      <c r="N2" s="75" t="s">
        <v>64</v>
      </c>
      <c r="O2" s="8">
        <v>342.44</v>
      </c>
      <c r="P2" s="80"/>
      <c r="Q2" s="6" t="s">
        <v>40</v>
      </c>
      <c r="R2" s="6" t="s">
        <v>40</v>
      </c>
      <c r="S2" s="6" t="s">
        <v>40</v>
      </c>
    </row>
    <row r="3" spans="1:19" s="23" customFormat="1" ht="15" x14ac:dyDescent="0.25">
      <c r="A3" s="6"/>
      <c r="B3" s="6" t="s">
        <v>38</v>
      </c>
      <c r="C3" s="9" t="s">
        <v>39</v>
      </c>
      <c r="D3" s="6" t="s">
        <v>40</v>
      </c>
      <c r="E3" s="6" t="s">
        <v>40</v>
      </c>
      <c r="F3" s="6" t="s">
        <v>40</v>
      </c>
      <c r="G3" s="6" t="s">
        <v>374</v>
      </c>
      <c r="H3" s="6"/>
      <c r="I3" s="13">
        <v>1</v>
      </c>
      <c r="J3" s="6" t="s">
        <v>41</v>
      </c>
      <c r="K3" s="6" t="s">
        <v>42</v>
      </c>
      <c r="L3" s="7" t="s">
        <v>43</v>
      </c>
      <c r="M3" s="6"/>
      <c r="N3" s="75" t="s">
        <v>65</v>
      </c>
      <c r="O3" s="8">
        <v>599.95000000000005</v>
      </c>
      <c r="P3" s="80"/>
      <c r="Q3" s="6" t="s">
        <v>40</v>
      </c>
      <c r="R3" s="6" t="s">
        <v>40</v>
      </c>
      <c r="S3" s="6" t="s">
        <v>55</v>
      </c>
    </row>
    <row r="4" spans="1:19" s="23" customFormat="1" ht="15" x14ac:dyDescent="0.25">
      <c r="A4" s="9"/>
      <c r="B4" s="9" t="s">
        <v>44</v>
      </c>
      <c r="C4" s="9" t="s">
        <v>39</v>
      </c>
      <c r="D4" s="9" t="s">
        <v>40</v>
      </c>
      <c r="E4" s="9" t="s">
        <v>40</v>
      </c>
      <c r="F4" s="9" t="s">
        <v>40</v>
      </c>
      <c r="G4" s="9" t="s">
        <v>380</v>
      </c>
      <c r="H4" s="9"/>
      <c r="I4" s="14">
        <v>3</v>
      </c>
      <c r="J4" s="9"/>
      <c r="K4" s="9" t="s">
        <v>63</v>
      </c>
      <c r="L4" s="10">
        <v>41864</v>
      </c>
      <c r="M4" s="9" t="s">
        <v>40</v>
      </c>
      <c r="N4" s="76" t="s">
        <v>64</v>
      </c>
      <c r="O4" s="11">
        <v>293.02999999999997</v>
      </c>
      <c r="P4" s="81"/>
      <c r="Q4" s="9" t="s">
        <v>40</v>
      </c>
      <c r="R4" s="9" t="s">
        <v>40</v>
      </c>
      <c r="S4" s="9" t="s">
        <v>40</v>
      </c>
    </row>
    <row r="5" spans="1:19" s="23" customFormat="1" ht="15" x14ac:dyDescent="0.25">
      <c r="A5" s="9"/>
      <c r="B5" s="9" t="s">
        <v>104</v>
      </c>
      <c r="C5" s="9" t="s">
        <v>58</v>
      </c>
      <c r="D5" s="9"/>
      <c r="E5" s="9"/>
      <c r="F5" s="9"/>
      <c r="G5" s="9" t="s">
        <v>31</v>
      </c>
      <c r="H5" s="9"/>
      <c r="I5" s="14">
        <v>3</v>
      </c>
      <c r="J5" s="9"/>
      <c r="K5" s="9" t="s">
        <v>63</v>
      </c>
      <c r="L5" s="10"/>
      <c r="M5" s="9"/>
      <c r="N5" s="76" t="s">
        <v>66</v>
      </c>
      <c r="O5" s="12" t="s">
        <v>144</v>
      </c>
      <c r="P5" s="81"/>
      <c r="Q5" s="11" t="s">
        <v>31</v>
      </c>
      <c r="R5" s="11" t="s">
        <v>31</v>
      </c>
      <c r="S5" s="11" t="s">
        <v>31</v>
      </c>
    </row>
    <row r="6" spans="1:19" s="23" customFormat="1" ht="15" x14ac:dyDescent="0.25">
      <c r="A6" s="6"/>
      <c r="B6" s="6" t="s">
        <v>45</v>
      </c>
      <c r="C6" s="9" t="s">
        <v>39</v>
      </c>
      <c r="D6" s="6" t="s">
        <v>40</v>
      </c>
      <c r="E6" s="6" t="s">
        <v>40</v>
      </c>
      <c r="F6" s="6" t="s">
        <v>40</v>
      </c>
      <c r="G6" s="6" t="s">
        <v>369</v>
      </c>
      <c r="H6" s="6"/>
      <c r="I6" s="13">
        <v>2</v>
      </c>
      <c r="J6" s="6"/>
      <c r="K6" s="6" t="s">
        <v>63</v>
      </c>
      <c r="L6" s="7">
        <v>41873</v>
      </c>
      <c r="M6" s="6" t="s">
        <v>40</v>
      </c>
      <c r="N6" s="75" t="s">
        <v>64</v>
      </c>
      <c r="O6" s="8">
        <v>850.33</v>
      </c>
      <c r="P6" s="80"/>
      <c r="Q6" s="6" t="s">
        <v>40</v>
      </c>
      <c r="R6" s="6" t="s">
        <v>40</v>
      </c>
      <c r="S6" s="6" t="s">
        <v>40</v>
      </c>
    </row>
    <row r="7" spans="1:19" s="23" customFormat="1" ht="15" x14ac:dyDescent="0.25">
      <c r="A7" s="9"/>
      <c r="B7" s="9" t="s">
        <v>46</v>
      </c>
      <c r="C7" s="9" t="s">
        <v>39</v>
      </c>
      <c r="D7" s="9" t="s">
        <v>40</v>
      </c>
      <c r="E7" s="9" t="s">
        <v>40</v>
      </c>
      <c r="F7" s="9" t="s">
        <v>40</v>
      </c>
      <c r="G7" s="9" t="s">
        <v>377</v>
      </c>
      <c r="H7" s="9"/>
      <c r="I7" s="14">
        <v>3</v>
      </c>
      <c r="J7" s="9" t="s">
        <v>41</v>
      </c>
      <c r="K7" s="9" t="s">
        <v>42</v>
      </c>
      <c r="L7" s="10">
        <v>41870</v>
      </c>
      <c r="M7" s="9"/>
      <c r="N7" s="76" t="s">
        <v>64</v>
      </c>
      <c r="O7" s="11">
        <v>914.41</v>
      </c>
      <c r="P7" s="81"/>
      <c r="Q7" s="9" t="s">
        <v>40</v>
      </c>
      <c r="R7" s="9" t="s">
        <v>40</v>
      </c>
      <c r="S7" s="9" t="s">
        <v>40</v>
      </c>
    </row>
    <row r="8" spans="1:19" s="23" customFormat="1" ht="15" x14ac:dyDescent="0.25">
      <c r="A8" s="6"/>
      <c r="B8" s="6" t="s">
        <v>47</v>
      </c>
      <c r="C8" s="9" t="s">
        <v>39</v>
      </c>
      <c r="D8" s="6" t="s">
        <v>40</v>
      </c>
      <c r="E8" s="6" t="s">
        <v>40</v>
      </c>
      <c r="F8" s="6" t="s">
        <v>40</v>
      </c>
      <c r="G8" s="6" t="s">
        <v>378</v>
      </c>
      <c r="H8" s="6" t="s">
        <v>381</v>
      </c>
      <c r="I8" s="13">
        <v>4</v>
      </c>
      <c r="J8" s="6" t="s">
        <v>62</v>
      </c>
      <c r="K8" s="6" t="s">
        <v>51</v>
      </c>
      <c r="L8" s="7">
        <v>41872</v>
      </c>
      <c r="M8" s="6"/>
      <c r="N8" s="75" t="s">
        <v>64</v>
      </c>
      <c r="O8" s="8">
        <v>1046.93</v>
      </c>
      <c r="P8" s="80"/>
      <c r="Q8" s="6" t="s">
        <v>40</v>
      </c>
      <c r="R8" s="6" t="s">
        <v>40</v>
      </c>
      <c r="S8" s="6" t="s">
        <v>55</v>
      </c>
    </row>
    <row r="9" spans="1:19" s="23" customFormat="1" ht="15" x14ac:dyDescent="0.25">
      <c r="A9" s="9"/>
      <c r="B9" s="9" t="s">
        <v>48</v>
      </c>
      <c r="C9" s="9" t="s">
        <v>39</v>
      </c>
      <c r="D9" s="9" t="s">
        <v>49</v>
      </c>
      <c r="E9" s="9" t="s">
        <v>49</v>
      </c>
      <c r="F9" s="9" t="s">
        <v>49</v>
      </c>
      <c r="G9" s="6" t="s">
        <v>374</v>
      </c>
      <c r="H9" s="9"/>
      <c r="I9" s="14">
        <v>2</v>
      </c>
      <c r="J9" s="9" t="s">
        <v>50</v>
      </c>
      <c r="K9" s="9" t="s">
        <v>51</v>
      </c>
      <c r="L9" s="10">
        <v>41878</v>
      </c>
      <c r="M9" s="9"/>
      <c r="N9" s="76" t="s">
        <v>64</v>
      </c>
      <c r="O9" s="11">
        <v>462.61</v>
      </c>
      <c r="P9" s="81"/>
      <c r="Q9" s="9" t="s">
        <v>40</v>
      </c>
      <c r="R9" s="9" t="s">
        <v>40</v>
      </c>
      <c r="S9" s="9" t="s">
        <v>55</v>
      </c>
    </row>
    <row r="10" spans="1:19" s="23" customFormat="1" ht="15" x14ac:dyDescent="0.25">
      <c r="A10" s="9"/>
      <c r="B10" s="9" t="s">
        <v>127</v>
      </c>
      <c r="C10" s="9" t="s">
        <v>63</v>
      </c>
      <c r="D10" s="9"/>
      <c r="E10" s="9"/>
      <c r="F10" s="9"/>
      <c r="G10" s="9" t="s">
        <v>31</v>
      </c>
      <c r="H10" s="9"/>
      <c r="I10" s="14">
        <v>3</v>
      </c>
      <c r="J10" s="9"/>
      <c r="K10" s="9" t="s">
        <v>63</v>
      </c>
      <c r="L10" s="10"/>
      <c r="M10" s="9"/>
      <c r="N10" s="76" t="s">
        <v>85</v>
      </c>
      <c r="O10" s="12" t="s">
        <v>144</v>
      </c>
      <c r="P10" s="81"/>
      <c r="Q10" s="11" t="s">
        <v>31</v>
      </c>
      <c r="R10" s="11" t="s">
        <v>31</v>
      </c>
      <c r="S10" s="11" t="s">
        <v>31</v>
      </c>
    </row>
    <row r="11" spans="1:19" s="23" customFormat="1" ht="15" x14ac:dyDescent="0.25">
      <c r="A11" s="6"/>
      <c r="B11" s="6" t="s">
        <v>52</v>
      </c>
      <c r="C11" s="9" t="s">
        <v>39</v>
      </c>
      <c r="D11" s="6" t="s">
        <v>40</v>
      </c>
      <c r="E11" s="6" t="s">
        <v>40</v>
      </c>
      <c r="F11" s="6"/>
      <c r="G11" s="6" t="s">
        <v>375</v>
      </c>
      <c r="H11" s="6"/>
      <c r="I11" s="13">
        <v>3</v>
      </c>
      <c r="J11" s="6" t="s">
        <v>61</v>
      </c>
      <c r="K11" s="6" t="s">
        <v>42</v>
      </c>
      <c r="L11" s="7">
        <v>41893</v>
      </c>
      <c r="M11" s="6"/>
      <c r="N11" s="75" t="s">
        <v>64</v>
      </c>
      <c r="O11" s="8">
        <v>485.79</v>
      </c>
      <c r="P11" s="80"/>
      <c r="Q11" s="6" t="s">
        <v>40</v>
      </c>
      <c r="R11" s="6" t="s">
        <v>40</v>
      </c>
      <c r="S11" s="6" t="s">
        <v>40</v>
      </c>
    </row>
    <row r="12" spans="1:19" s="23" customFormat="1" ht="15" x14ac:dyDescent="0.25">
      <c r="A12" s="6"/>
      <c r="B12" s="6" t="s">
        <v>53</v>
      </c>
      <c r="C12" s="9" t="s">
        <v>58</v>
      </c>
      <c r="D12" s="6" t="s">
        <v>49</v>
      </c>
      <c r="E12" s="6" t="s">
        <v>40</v>
      </c>
      <c r="F12" s="6" t="s">
        <v>49</v>
      </c>
      <c r="G12" s="6" t="s">
        <v>381</v>
      </c>
      <c r="H12" s="6"/>
      <c r="I12" s="13">
        <v>3</v>
      </c>
      <c r="J12" s="6" t="s">
        <v>59</v>
      </c>
      <c r="K12" s="6" t="s">
        <v>63</v>
      </c>
      <c r="L12" s="7">
        <v>42136</v>
      </c>
      <c r="M12" s="6"/>
      <c r="N12" s="75" t="s">
        <v>66</v>
      </c>
      <c r="O12" s="8">
        <v>885.25</v>
      </c>
      <c r="P12" s="80"/>
      <c r="Q12" s="6" t="s">
        <v>40</v>
      </c>
      <c r="R12" s="6" t="s">
        <v>40</v>
      </c>
      <c r="S12" s="6" t="s">
        <v>144</v>
      </c>
    </row>
    <row r="13" spans="1:19" s="23" customFormat="1" ht="15" x14ac:dyDescent="0.25">
      <c r="A13" s="9"/>
      <c r="B13" s="9" t="s">
        <v>57</v>
      </c>
      <c r="C13" s="9" t="s">
        <v>39</v>
      </c>
      <c r="D13" s="9" t="s">
        <v>49</v>
      </c>
      <c r="E13" s="9" t="s">
        <v>40</v>
      </c>
      <c r="F13" s="9" t="s">
        <v>40</v>
      </c>
      <c r="G13" s="9" t="s">
        <v>376</v>
      </c>
      <c r="H13" s="9"/>
      <c r="I13" s="14">
        <v>6</v>
      </c>
      <c r="J13" s="9" t="s">
        <v>60</v>
      </c>
      <c r="K13" s="9" t="s">
        <v>51</v>
      </c>
      <c r="L13" s="10">
        <v>41878</v>
      </c>
      <c r="M13" s="9" t="s">
        <v>40</v>
      </c>
      <c r="N13" s="76" t="s">
        <v>64</v>
      </c>
      <c r="O13" s="11">
        <v>260</v>
      </c>
      <c r="P13" s="81"/>
      <c r="Q13" s="9" t="s">
        <v>40</v>
      </c>
      <c r="R13" s="9" t="s">
        <v>40</v>
      </c>
      <c r="S13" s="9" t="s">
        <v>40</v>
      </c>
    </row>
    <row r="14" spans="1:19" s="23" customFormat="1" ht="15" x14ac:dyDescent="0.25">
      <c r="A14" s="6"/>
      <c r="B14" s="6" t="s">
        <v>67</v>
      </c>
      <c r="C14" s="9" t="s">
        <v>39</v>
      </c>
      <c r="D14" s="6" t="s">
        <v>49</v>
      </c>
      <c r="E14" s="6" t="s">
        <v>49</v>
      </c>
      <c r="F14" s="6" t="s">
        <v>49</v>
      </c>
      <c r="G14" s="6" t="s">
        <v>377</v>
      </c>
      <c r="H14" s="6"/>
      <c r="I14" s="13">
        <v>3</v>
      </c>
      <c r="J14" s="6" t="s">
        <v>68</v>
      </c>
      <c r="K14" s="6" t="s">
        <v>51</v>
      </c>
      <c r="L14" s="7">
        <v>41891</v>
      </c>
      <c r="M14" s="6" t="s">
        <v>40</v>
      </c>
      <c r="N14" s="75" t="s">
        <v>64</v>
      </c>
      <c r="O14" s="8">
        <v>1210.3699999999999</v>
      </c>
      <c r="P14" s="80"/>
      <c r="Q14" s="6" t="s">
        <v>51</v>
      </c>
      <c r="R14" s="6"/>
      <c r="S14" s="6" t="s">
        <v>40</v>
      </c>
    </row>
    <row r="15" spans="1:19" s="23" customFormat="1" ht="15" x14ac:dyDescent="0.25">
      <c r="A15" s="9"/>
      <c r="B15" s="9" t="s">
        <v>69</v>
      </c>
      <c r="C15" s="9" t="s">
        <v>39</v>
      </c>
      <c r="D15" s="9" t="s">
        <v>49</v>
      </c>
      <c r="E15" s="9" t="s">
        <v>49</v>
      </c>
      <c r="F15" s="9" t="s">
        <v>49</v>
      </c>
      <c r="G15" s="6" t="s">
        <v>375</v>
      </c>
      <c r="H15" s="9"/>
      <c r="I15" s="14">
        <v>3</v>
      </c>
      <c r="J15" s="9" t="s">
        <v>70</v>
      </c>
      <c r="K15" s="9" t="s">
        <v>63</v>
      </c>
      <c r="L15" s="10">
        <v>41929</v>
      </c>
      <c r="M15" s="9" t="s">
        <v>40</v>
      </c>
      <c r="N15" s="76" t="s">
        <v>64</v>
      </c>
      <c r="O15" s="11">
        <v>954.76</v>
      </c>
      <c r="P15" s="81"/>
      <c r="Q15" s="9" t="s">
        <v>54</v>
      </c>
      <c r="R15" s="9" t="s">
        <v>40</v>
      </c>
      <c r="S15" s="9" t="s">
        <v>40</v>
      </c>
    </row>
    <row r="16" spans="1:19" s="23" customFormat="1" ht="15" x14ac:dyDescent="0.25">
      <c r="A16" s="6"/>
      <c r="B16" s="6" t="s">
        <v>71</v>
      </c>
      <c r="C16" s="9" t="s">
        <v>39</v>
      </c>
      <c r="D16" s="6" t="s">
        <v>49</v>
      </c>
      <c r="E16" s="6" t="s">
        <v>49</v>
      </c>
      <c r="F16" s="6" t="s">
        <v>49</v>
      </c>
      <c r="G16" s="6" t="s">
        <v>379</v>
      </c>
      <c r="H16" s="6" t="s">
        <v>387</v>
      </c>
      <c r="I16" s="13">
        <v>6</v>
      </c>
      <c r="J16" s="6" t="s">
        <v>41</v>
      </c>
      <c r="K16" s="6" t="s">
        <v>63</v>
      </c>
      <c r="L16" s="7"/>
      <c r="M16" s="6"/>
      <c r="N16" s="75" t="s">
        <v>76</v>
      </c>
      <c r="O16" s="8">
        <v>2089.98</v>
      </c>
      <c r="P16" s="80"/>
      <c r="Q16" s="6" t="s">
        <v>40</v>
      </c>
      <c r="R16" s="6" t="s">
        <v>40</v>
      </c>
      <c r="S16" s="6" t="s">
        <v>40</v>
      </c>
    </row>
    <row r="17" spans="1:19" s="23" customFormat="1" ht="15" x14ac:dyDescent="0.25">
      <c r="A17" s="9"/>
      <c r="B17" s="9" t="s">
        <v>72</v>
      </c>
      <c r="C17" s="9" t="s">
        <v>63</v>
      </c>
      <c r="D17" s="9"/>
      <c r="E17" s="9" t="s">
        <v>49</v>
      </c>
      <c r="F17" s="9" t="s">
        <v>49</v>
      </c>
      <c r="G17" s="9" t="s">
        <v>31</v>
      </c>
      <c r="H17" s="9"/>
      <c r="I17" s="14">
        <v>4</v>
      </c>
      <c r="J17" s="9" t="s">
        <v>73</v>
      </c>
      <c r="K17" s="9" t="s">
        <v>63</v>
      </c>
      <c r="L17" s="10"/>
      <c r="M17" s="9"/>
      <c r="N17" s="76" t="s">
        <v>85</v>
      </c>
      <c r="O17" s="12" t="s">
        <v>144</v>
      </c>
      <c r="P17" s="81"/>
      <c r="Q17" s="11" t="s">
        <v>31</v>
      </c>
      <c r="R17" s="11" t="s">
        <v>31</v>
      </c>
      <c r="S17" s="11" t="s">
        <v>31</v>
      </c>
    </row>
    <row r="18" spans="1:19" s="23" customFormat="1" ht="15" x14ac:dyDescent="0.25">
      <c r="A18" s="6"/>
      <c r="B18" s="6" t="s">
        <v>74</v>
      </c>
      <c r="C18" s="9" t="s">
        <v>39</v>
      </c>
      <c r="D18" s="6" t="s">
        <v>40</v>
      </c>
      <c r="E18" s="6" t="s">
        <v>40</v>
      </c>
      <c r="F18" s="6" t="s">
        <v>40</v>
      </c>
      <c r="G18" s="6" t="s">
        <v>375</v>
      </c>
      <c r="H18" s="6"/>
      <c r="I18" s="13">
        <v>4</v>
      </c>
      <c r="J18" s="6" t="s">
        <v>68</v>
      </c>
      <c r="K18" s="6" t="s">
        <v>51</v>
      </c>
      <c r="L18" s="7"/>
      <c r="M18" s="6"/>
      <c r="N18" s="75" t="s">
        <v>64</v>
      </c>
      <c r="O18" s="8">
        <v>384.39</v>
      </c>
      <c r="P18" s="80"/>
      <c r="Q18" s="6" t="s">
        <v>40</v>
      </c>
      <c r="R18" s="6" t="s">
        <v>40</v>
      </c>
      <c r="S18" s="6" t="s">
        <v>55</v>
      </c>
    </row>
    <row r="19" spans="1:19" s="23" customFormat="1" ht="15" x14ac:dyDescent="0.25">
      <c r="A19" s="9"/>
      <c r="B19" s="9" t="s">
        <v>75</v>
      </c>
      <c r="C19" s="9" t="s">
        <v>39</v>
      </c>
      <c r="D19" s="9" t="s">
        <v>40</v>
      </c>
      <c r="E19" s="9" t="s">
        <v>40</v>
      </c>
      <c r="F19" s="9" t="s">
        <v>40</v>
      </c>
      <c r="G19" s="9" t="s">
        <v>371</v>
      </c>
      <c r="H19" s="9"/>
      <c r="I19" s="14">
        <v>3</v>
      </c>
      <c r="J19" s="9"/>
      <c r="K19" s="9" t="s">
        <v>63</v>
      </c>
      <c r="L19" s="10">
        <v>42019</v>
      </c>
      <c r="M19" s="9"/>
      <c r="N19" s="77" t="s">
        <v>64</v>
      </c>
      <c r="O19" s="11" t="s">
        <v>144</v>
      </c>
      <c r="P19" s="81"/>
      <c r="Q19" s="9"/>
      <c r="R19" s="9"/>
      <c r="S19" s="9"/>
    </row>
    <row r="20" spans="1:19" s="23" customFormat="1" ht="15" x14ac:dyDescent="0.25">
      <c r="A20" s="9"/>
      <c r="B20" s="9" t="s">
        <v>87</v>
      </c>
      <c r="C20" s="9" t="s">
        <v>39</v>
      </c>
      <c r="D20" s="9" t="s">
        <v>40</v>
      </c>
      <c r="E20" s="9" t="s">
        <v>40</v>
      </c>
      <c r="F20" s="9" t="s">
        <v>40</v>
      </c>
      <c r="G20" s="9" t="s">
        <v>386</v>
      </c>
      <c r="H20" s="9"/>
      <c r="I20" s="14">
        <v>3</v>
      </c>
      <c r="J20" s="9"/>
      <c r="K20" s="9" t="s">
        <v>51</v>
      </c>
      <c r="L20" s="10" t="s">
        <v>119</v>
      </c>
      <c r="M20" s="9"/>
      <c r="N20" s="76" t="s">
        <v>64</v>
      </c>
      <c r="O20" s="11">
        <v>543.26</v>
      </c>
      <c r="P20" s="81"/>
      <c r="Q20" s="9" t="s">
        <v>40</v>
      </c>
      <c r="R20" s="9" t="s">
        <v>40</v>
      </c>
      <c r="S20" s="9" t="s">
        <v>40</v>
      </c>
    </row>
    <row r="21" spans="1:19" s="23" customFormat="1" ht="15" x14ac:dyDescent="0.25">
      <c r="A21" s="9"/>
      <c r="B21" s="9" t="s">
        <v>81</v>
      </c>
      <c r="C21" s="9" t="s">
        <v>58</v>
      </c>
      <c r="D21" s="9"/>
      <c r="E21" s="9"/>
      <c r="F21" s="9"/>
      <c r="G21" s="9" t="s">
        <v>31</v>
      </c>
      <c r="H21" s="9"/>
      <c r="I21" s="14">
        <v>1</v>
      </c>
      <c r="J21" s="9"/>
      <c r="K21" s="9" t="s">
        <v>51</v>
      </c>
      <c r="L21" s="10"/>
      <c r="M21" s="9"/>
      <c r="N21" s="76" t="s">
        <v>112</v>
      </c>
      <c r="O21" s="12" t="s">
        <v>144</v>
      </c>
      <c r="P21" s="81"/>
      <c r="Q21" s="11" t="s">
        <v>31</v>
      </c>
      <c r="R21" s="11" t="s">
        <v>31</v>
      </c>
      <c r="S21" s="11" t="s">
        <v>31</v>
      </c>
    </row>
    <row r="22" spans="1:19" s="23" customFormat="1" ht="15" x14ac:dyDescent="0.25">
      <c r="A22" s="6"/>
      <c r="B22" s="6" t="s">
        <v>78</v>
      </c>
      <c r="C22" s="9" t="s">
        <v>39</v>
      </c>
      <c r="D22" s="6" t="s">
        <v>40</v>
      </c>
      <c r="E22" s="6" t="s">
        <v>40</v>
      </c>
      <c r="F22" s="6" t="s">
        <v>40</v>
      </c>
      <c r="G22" s="9" t="s">
        <v>386</v>
      </c>
      <c r="H22" s="6"/>
      <c r="I22" s="13">
        <v>3</v>
      </c>
      <c r="J22" s="6" t="s">
        <v>79</v>
      </c>
      <c r="K22" s="6" t="s">
        <v>63</v>
      </c>
      <c r="L22" s="7">
        <v>41899</v>
      </c>
      <c r="M22" s="6"/>
      <c r="N22" s="75" t="s">
        <v>65</v>
      </c>
      <c r="O22" s="8">
        <v>423.71</v>
      </c>
      <c r="P22" s="80"/>
      <c r="Q22" s="6" t="s">
        <v>40</v>
      </c>
      <c r="R22" s="6" t="s">
        <v>40</v>
      </c>
      <c r="S22" s="6" t="s">
        <v>40</v>
      </c>
    </row>
    <row r="23" spans="1:19" s="23" customFormat="1" ht="15" x14ac:dyDescent="0.25">
      <c r="A23" s="9"/>
      <c r="B23" s="9" t="s">
        <v>77</v>
      </c>
      <c r="C23" s="9" t="s">
        <v>58</v>
      </c>
      <c r="D23" s="9"/>
      <c r="E23" s="9" t="s">
        <v>40</v>
      </c>
      <c r="F23" s="9" t="s">
        <v>40</v>
      </c>
      <c r="G23" s="9" t="s">
        <v>31</v>
      </c>
      <c r="H23" s="9"/>
      <c r="I23" s="14">
        <v>2</v>
      </c>
      <c r="J23" s="9" t="s">
        <v>80</v>
      </c>
      <c r="K23" s="9" t="s">
        <v>51</v>
      </c>
      <c r="L23" s="10"/>
      <c r="M23" s="9"/>
      <c r="N23" s="76" t="s">
        <v>112</v>
      </c>
      <c r="O23" s="12" t="s">
        <v>144</v>
      </c>
      <c r="P23" s="81"/>
      <c r="Q23" s="11" t="s">
        <v>31</v>
      </c>
      <c r="R23" s="11" t="s">
        <v>31</v>
      </c>
      <c r="S23" s="11" t="s">
        <v>31</v>
      </c>
    </row>
    <row r="24" spans="1:19" s="23" customFormat="1" ht="15" x14ac:dyDescent="0.25">
      <c r="A24" s="6"/>
      <c r="B24" s="6" t="s">
        <v>82</v>
      </c>
      <c r="C24" s="9" t="s">
        <v>39</v>
      </c>
      <c r="D24" s="6" t="s">
        <v>49</v>
      </c>
      <c r="E24" s="6" t="s">
        <v>49</v>
      </c>
      <c r="F24" s="6" t="s">
        <v>49</v>
      </c>
      <c r="G24" s="6" t="s">
        <v>383</v>
      </c>
      <c r="H24" s="6"/>
      <c r="I24" s="13">
        <v>2</v>
      </c>
      <c r="J24" s="6" t="s">
        <v>83</v>
      </c>
      <c r="K24" s="6" t="s">
        <v>51</v>
      </c>
      <c r="L24" s="7"/>
      <c r="M24" s="6"/>
      <c r="N24" s="75" t="s">
        <v>64</v>
      </c>
      <c r="O24" s="8">
        <v>1184.8800000000001</v>
      </c>
      <c r="P24" s="80"/>
      <c r="Q24" s="6" t="s">
        <v>40</v>
      </c>
      <c r="R24" s="6" t="s">
        <v>40</v>
      </c>
      <c r="S24" s="6" t="s">
        <v>55</v>
      </c>
    </row>
    <row r="25" spans="1:19" s="23" customFormat="1" ht="15" x14ac:dyDescent="0.25">
      <c r="A25" s="9"/>
      <c r="B25" s="9" t="s">
        <v>84</v>
      </c>
      <c r="C25" s="9" t="s">
        <v>39</v>
      </c>
      <c r="D25" s="9" t="s">
        <v>49</v>
      </c>
      <c r="E25" s="9" t="s">
        <v>49</v>
      </c>
      <c r="F25" s="9" t="s">
        <v>49</v>
      </c>
      <c r="G25" s="6" t="s">
        <v>377</v>
      </c>
      <c r="H25" s="9"/>
      <c r="I25" s="14">
        <v>3</v>
      </c>
      <c r="J25" s="9" t="s">
        <v>62</v>
      </c>
      <c r="K25" s="9" t="s">
        <v>42</v>
      </c>
      <c r="L25" s="10">
        <v>41935</v>
      </c>
      <c r="M25" s="9"/>
      <c r="N25" s="76" t="s">
        <v>64</v>
      </c>
      <c r="O25" s="11">
        <v>1105.75</v>
      </c>
      <c r="P25" s="81"/>
      <c r="Q25" s="9" t="s">
        <v>40</v>
      </c>
      <c r="R25" s="9" t="s">
        <v>40</v>
      </c>
      <c r="S25" s="9" t="s">
        <v>144</v>
      </c>
    </row>
    <row r="26" spans="1:19" s="23" customFormat="1" ht="15" x14ac:dyDescent="0.25">
      <c r="A26" s="6"/>
      <c r="B26" s="6" t="s">
        <v>86</v>
      </c>
      <c r="C26" s="9" t="s">
        <v>39</v>
      </c>
      <c r="D26" s="6" t="s">
        <v>49</v>
      </c>
      <c r="E26" s="6" t="s">
        <v>49</v>
      </c>
      <c r="F26" s="6" t="s">
        <v>49</v>
      </c>
      <c r="G26" s="6" t="s">
        <v>385</v>
      </c>
      <c r="H26" s="6"/>
      <c r="I26" s="13">
        <v>4</v>
      </c>
      <c r="J26" s="6" t="s">
        <v>68</v>
      </c>
      <c r="K26" s="6" t="s">
        <v>51</v>
      </c>
      <c r="L26" s="7">
        <v>41906</v>
      </c>
      <c r="M26" s="6"/>
      <c r="N26" s="75" t="s">
        <v>64</v>
      </c>
      <c r="O26" s="8">
        <v>364.05</v>
      </c>
      <c r="P26" s="80"/>
      <c r="Q26" s="6" t="s">
        <v>40</v>
      </c>
      <c r="R26" s="6" t="s">
        <v>40</v>
      </c>
      <c r="S26" s="6" t="s">
        <v>40</v>
      </c>
    </row>
    <row r="27" spans="1:19" s="23" customFormat="1" ht="15" x14ac:dyDescent="0.25">
      <c r="A27" s="6"/>
      <c r="B27" s="6" t="s">
        <v>102</v>
      </c>
      <c r="C27" s="9" t="s">
        <v>39</v>
      </c>
      <c r="D27" s="6" t="s">
        <v>40</v>
      </c>
      <c r="E27" s="6" t="s">
        <v>40</v>
      </c>
      <c r="F27" s="6" t="s">
        <v>40</v>
      </c>
      <c r="G27" s="6" t="s">
        <v>372</v>
      </c>
      <c r="H27" s="6"/>
      <c r="I27" s="13">
        <v>4</v>
      </c>
      <c r="J27" s="6" t="s">
        <v>103</v>
      </c>
      <c r="K27" s="6" t="s">
        <v>51</v>
      </c>
      <c r="L27" s="7">
        <v>41933</v>
      </c>
      <c r="M27" s="6"/>
      <c r="N27" s="75" t="s">
        <v>64</v>
      </c>
      <c r="O27" s="8">
        <v>855.97</v>
      </c>
      <c r="P27" s="80"/>
      <c r="Q27" s="6" t="s">
        <v>40</v>
      </c>
      <c r="R27" s="6" t="s">
        <v>40</v>
      </c>
      <c r="S27" s="6" t="s">
        <v>40</v>
      </c>
    </row>
    <row r="28" spans="1:19" s="23" customFormat="1" ht="15" x14ac:dyDescent="0.25">
      <c r="A28" s="9"/>
      <c r="B28" s="9" t="s">
        <v>88</v>
      </c>
      <c r="C28" s="9" t="s">
        <v>63</v>
      </c>
      <c r="D28" s="9"/>
      <c r="E28" s="9" t="s">
        <v>40</v>
      </c>
      <c r="F28" s="9" t="s">
        <v>40</v>
      </c>
      <c r="G28" s="9" t="s">
        <v>31</v>
      </c>
      <c r="H28" s="9"/>
      <c r="I28" s="14">
        <v>2</v>
      </c>
      <c r="J28" s="9"/>
      <c r="K28" s="9" t="s">
        <v>51</v>
      </c>
      <c r="L28" s="10"/>
      <c r="M28" s="9"/>
      <c r="N28" s="76" t="s">
        <v>85</v>
      </c>
      <c r="O28" s="12" t="s">
        <v>144</v>
      </c>
      <c r="P28" s="81"/>
      <c r="Q28" s="11" t="s">
        <v>31</v>
      </c>
      <c r="R28" s="11" t="s">
        <v>31</v>
      </c>
      <c r="S28" s="11" t="s">
        <v>31</v>
      </c>
    </row>
    <row r="29" spans="1:19" s="23" customFormat="1" ht="15" x14ac:dyDescent="0.25">
      <c r="A29" s="6"/>
      <c r="B29" s="6" t="s">
        <v>89</v>
      </c>
      <c r="C29" s="9" t="s">
        <v>58</v>
      </c>
      <c r="D29" s="6" t="s">
        <v>40</v>
      </c>
      <c r="E29" s="6" t="s">
        <v>40</v>
      </c>
      <c r="F29" s="6" t="s">
        <v>40</v>
      </c>
      <c r="G29" s="6" t="s">
        <v>31</v>
      </c>
      <c r="H29" s="6"/>
      <c r="I29" s="13">
        <v>5</v>
      </c>
      <c r="J29" s="6"/>
      <c r="K29" s="6" t="s">
        <v>51</v>
      </c>
      <c r="L29" s="7"/>
      <c r="M29" s="6"/>
      <c r="N29" s="75" t="s">
        <v>66</v>
      </c>
      <c r="O29" s="74" t="s">
        <v>144</v>
      </c>
      <c r="P29" s="80">
        <v>555</v>
      </c>
      <c r="Q29" s="6" t="s">
        <v>40</v>
      </c>
      <c r="R29" s="6"/>
      <c r="S29" s="6"/>
    </row>
    <row r="30" spans="1:19" s="23" customFormat="1" ht="15" x14ac:dyDescent="0.25">
      <c r="A30" s="9"/>
      <c r="B30" s="9" t="s">
        <v>90</v>
      </c>
      <c r="C30" s="9" t="s">
        <v>39</v>
      </c>
      <c r="D30" s="9" t="s">
        <v>40</v>
      </c>
      <c r="E30" s="9" t="s">
        <v>40</v>
      </c>
      <c r="F30" s="9" t="s">
        <v>40</v>
      </c>
      <c r="G30" s="9" t="s">
        <v>368</v>
      </c>
      <c r="H30" s="9"/>
      <c r="I30" s="14">
        <v>3</v>
      </c>
      <c r="J30" s="9"/>
      <c r="K30" s="9" t="s">
        <v>63</v>
      </c>
      <c r="L30" s="10" t="s">
        <v>148</v>
      </c>
      <c r="M30" s="9" t="s">
        <v>40</v>
      </c>
      <c r="N30" s="77" t="s">
        <v>64</v>
      </c>
      <c r="O30" s="11">
        <v>2698.25</v>
      </c>
      <c r="P30" s="81"/>
      <c r="Q30" s="9" t="s">
        <v>40</v>
      </c>
      <c r="R30" s="9" t="s">
        <v>40</v>
      </c>
      <c r="S30" s="9" t="s">
        <v>40</v>
      </c>
    </row>
    <row r="31" spans="1:19" s="23" customFormat="1" ht="15" x14ac:dyDescent="0.25">
      <c r="A31" s="9"/>
      <c r="B31" s="9" t="s">
        <v>91</v>
      </c>
      <c r="C31" s="9" t="s">
        <v>39</v>
      </c>
      <c r="D31" s="9" t="s">
        <v>40</v>
      </c>
      <c r="E31" s="9" t="s">
        <v>40</v>
      </c>
      <c r="F31" s="9" t="s">
        <v>40</v>
      </c>
      <c r="G31" s="6" t="s">
        <v>385</v>
      </c>
      <c r="H31" s="9"/>
      <c r="I31" s="14">
        <v>4</v>
      </c>
      <c r="J31" s="9" t="s">
        <v>41</v>
      </c>
      <c r="K31" s="9" t="s">
        <v>63</v>
      </c>
      <c r="L31" s="10">
        <v>41953</v>
      </c>
      <c r="M31" s="9"/>
      <c r="N31" s="77" t="s">
        <v>64</v>
      </c>
      <c r="O31" s="12">
        <v>919.53</v>
      </c>
      <c r="P31" s="82"/>
      <c r="Q31" s="9" t="s">
        <v>40</v>
      </c>
      <c r="R31" s="9" t="s">
        <v>40</v>
      </c>
      <c r="S31" s="9" t="s">
        <v>55</v>
      </c>
    </row>
    <row r="32" spans="1:19" s="23" customFormat="1" ht="15" x14ac:dyDescent="0.25">
      <c r="A32" s="9"/>
      <c r="B32" s="9" t="s">
        <v>93</v>
      </c>
      <c r="C32" s="9" t="s">
        <v>39</v>
      </c>
      <c r="D32" s="9" t="s">
        <v>40</v>
      </c>
      <c r="E32" s="9" t="s">
        <v>40</v>
      </c>
      <c r="F32" s="9" t="s">
        <v>40</v>
      </c>
      <c r="G32" s="9" t="s">
        <v>380</v>
      </c>
      <c r="H32" s="9"/>
      <c r="I32" s="14">
        <v>3</v>
      </c>
      <c r="J32" s="9"/>
      <c r="K32" s="9" t="s">
        <v>51</v>
      </c>
      <c r="L32" s="10"/>
      <c r="M32" s="9"/>
      <c r="N32" s="76" t="s">
        <v>64</v>
      </c>
      <c r="O32" s="12">
        <v>431.4</v>
      </c>
      <c r="P32" s="82"/>
      <c r="Q32" s="9" t="s">
        <v>40</v>
      </c>
      <c r="R32" s="9" t="s">
        <v>40</v>
      </c>
      <c r="S32" s="9" t="s">
        <v>40</v>
      </c>
    </row>
    <row r="33" spans="1:19" s="23" customFormat="1" ht="15" x14ac:dyDescent="0.25">
      <c r="A33" s="9"/>
      <c r="B33" s="9" t="s">
        <v>92</v>
      </c>
      <c r="C33" s="9" t="s">
        <v>39</v>
      </c>
      <c r="D33" s="9" t="s">
        <v>40</v>
      </c>
      <c r="E33" s="9" t="s">
        <v>40</v>
      </c>
      <c r="F33" s="9" t="s">
        <v>40</v>
      </c>
      <c r="G33" s="9" t="s">
        <v>370</v>
      </c>
      <c r="H33" s="9"/>
      <c r="I33" s="14">
        <v>3</v>
      </c>
      <c r="J33" s="9"/>
      <c r="K33" s="9" t="s">
        <v>63</v>
      </c>
      <c r="L33" s="10"/>
      <c r="M33" s="9"/>
      <c r="N33" s="76" t="s">
        <v>64</v>
      </c>
      <c r="O33" s="12">
        <v>260.58999999999997</v>
      </c>
      <c r="P33" s="82"/>
      <c r="Q33" s="9" t="s">
        <v>40</v>
      </c>
      <c r="R33" s="9" t="s">
        <v>40</v>
      </c>
      <c r="S33" s="9" t="s">
        <v>40</v>
      </c>
    </row>
    <row r="34" spans="1:19" s="23" customFormat="1" ht="15" x14ac:dyDescent="0.25">
      <c r="A34" s="9"/>
      <c r="B34" s="9" t="s">
        <v>94</v>
      </c>
      <c r="C34" s="9" t="s">
        <v>39</v>
      </c>
      <c r="D34" s="9" t="s">
        <v>40</v>
      </c>
      <c r="E34" s="9" t="s">
        <v>40</v>
      </c>
      <c r="F34" s="9" t="s">
        <v>40</v>
      </c>
      <c r="G34" s="6" t="s">
        <v>375</v>
      </c>
      <c r="H34" s="9"/>
      <c r="I34" s="14">
        <v>3</v>
      </c>
      <c r="J34" s="9"/>
      <c r="K34" s="9" t="s">
        <v>63</v>
      </c>
      <c r="L34" s="10" t="s">
        <v>107</v>
      </c>
      <c r="M34" s="9" t="s">
        <v>40</v>
      </c>
      <c r="N34" s="76" t="s">
        <v>64</v>
      </c>
      <c r="O34" s="12">
        <v>882.36</v>
      </c>
      <c r="P34" s="82"/>
      <c r="Q34" s="9" t="s">
        <v>40</v>
      </c>
      <c r="R34" s="9" t="s">
        <v>40</v>
      </c>
      <c r="S34" s="9" t="s">
        <v>40</v>
      </c>
    </row>
    <row r="35" spans="1:19" s="23" customFormat="1" ht="15" x14ac:dyDescent="0.25">
      <c r="A35" s="9"/>
      <c r="B35" s="9" t="s">
        <v>95</v>
      </c>
      <c r="C35" s="9" t="s">
        <v>58</v>
      </c>
      <c r="D35" s="9"/>
      <c r="E35" s="9"/>
      <c r="F35" s="9"/>
      <c r="G35" s="9" t="s">
        <v>31</v>
      </c>
      <c r="H35" s="9"/>
      <c r="I35" s="14">
        <v>2</v>
      </c>
      <c r="J35" s="9"/>
      <c r="K35" s="9" t="s">
        <v>63</v>
      </c>
      <c r="L35" s="10"/>
      <c r="M35" s="9"/>
      <c r="N35" s="76" t="s">
        <v>66</v>
      </c>
      <c r="O35" s="12" t="s">
        <v>144</v>
      </c>
      <c r="P35" s="82"/>
      <c r="Q35" s="12" t="s">
        <v>31</v>
      </c>
      <c r="R35" s="12" t="s">
        <v>31</v>
      </c>
      <c r="S35" s="12" t="s">
        <v>31</v>
      </c>
    </row>
    <row r="36" spans="1:19" s="23" customFormat="1" ht="15" x14ac:dyDescent="0.25">
      <c r="A36" s="9"/>
      <c r="B36" s="9" t="s">
        <v>96</v>
      </c>
      <c r="C36" s="9" t="s">
        <v>58</v>
      </c>
      <c r="D36" s="9"/>
      <c r="E36" s="9"/>
      <c r="F36" s="9"/>
      <c r="G36" s="9" t="s">
        <v>31</v>
      </c>
      <c r="H36" s="9"/>
      <c r="I36" s="14">
        <v>2</v>
      </c>
      <c r="J36" s="9"/>
      <c r="K36" s="9" t="s">
        <v>63</v>
      </c>
      <c r="L36" s="10"/>
      <c r="M36" s="9"/>
      <c r="N36" s="76" t="s">
        <v>66</v>
      </c>
      <c r="O36" s="12" t="s">
        <v>144</v>
      </c>
      <c r="P36" s="82"/>
      <c r="Q36" s="12" t="s">
        <v>31</v>
      </c>
      <c r="R36" s="12" t="s">
        <v>31</v>
      </c>
      <c r="S36" s="12" t="s">
        <v>31</v>
      </c>
    </row>
    <row r="37" spans="1:19" s="23" customFormat="1" ht="15" x14ac:dyDescent="0.25">
      <c r="A37" s="9"/>
      <c r="B37" s="9" t="s">
        <v>98</v>
      </c>
      <c r="C37" s="9" t="s">
        <v>39</v>
      </c>
      <c r="D37" s="9" t="s">
        <v>40</v>
      </c>
      <c r="E37" s="9" t="s">
        <v>40</v>
      </c>
      <c r="F37" s="9" t="s">
        <v>40</v>
      </c>
      <c r="G37" s="6" t="s">
        <v>383</v>
      </c>
      <c r="H37" s="9"/>
      <c r="I37" s="14">
        <v>1</v>
      </c>
      <c r="J37" s="9"/>
      <c r="K37" s="9" t="s">
        <v>51</v>
      </c>
      <c r="L37" s="10"/>
      <c r="M37" s="9"/>
      <c r="N37" s="76" t="s">
        <v>65</v>
      </c>
      <c r="O37" s="12">
        <v>746.98</v>
      </c>
      <c r="P37" s="82"/>
      <c r="Q37" s="9" t="s">
        <v>40</v>
      </c>
      <c r="R37" s="9" t="s">
        <v>40</v>
      </c>
      <c r="S37" s="9" t="s">
        <v>40</v>
      </c>
    </row>
    <row r="38" spans="1:19" s="23" customFormat="1" ht="15" x14ac:dyDescent="0.25">
      <c r="A38" s="9"/>
      <c r="B38" s="9" t="s">
        <v>97</v>
      </c>
      <c r="C38" s="9" t="s">
        <v>58</v>
      </c>
      <c r="D38" s="9"/>
      <c r="E38" s="9"/>
      <c r="F38" s="9"/>
      <c r="G38" s="9" t="s">
        <v>31</v>
      </c>
      <c r="H38" s="9"/>
      <c r="I38" s="14">
        <v>5</v>
      </c>
      <c r="J38" s="9"/>
      <c r="K38" s="9" t="s">
        <v>51</v>
      </c>
      <c r="L38" s="10">
        <v>41920</v>
      </c>
      <c r="M38" s="9"/>
      <c r="N38" s="76" t="s">
        <v>66</v>
      </c>
      <c r="O38" s="12" t="s">
        <v>144</v>
      </c>
      <c r="P38" s="82"/>
      <c r="Q38" s="12" t="s">
        <v>31</v>
      </c>
      <c r="R38" s="12" t="s">
        <v>31</v>
      </c>
      <c r="S38" s="12" t="s">
        <v>31</v>
      </c>
    </row>
    <row r="39" spans="1:19" s="23" customFormat="1" ht="15" x14ac:dyDescent="0.25">
      <c r="A39" s="9"/>
      <c r="B39" s="9" t="s">
        <v>124</v>
      </c>
      <c r="C39" s="9" t="s">
        <v>39</v>
      </c>
      <c r="D39" s="9" t="s">
        <v>40</v>
      </c>
      <c r="E39" s="9" t="s">
        <v>40</v>
      </c>
      <c r="F39" s="9" t="s">
        <v>40</v>
      </c>
      <c r="G39" s="6" t="s">
        <v>381</v>
      </c>
      <c r="H39" s="9"/>
      <c r="I39" s="14">
        <v>1</v>
      </c>
      <c r="J39" s="9"/>
      <c r="K39" s="9" t="s">
        <v>42</v>
      </c>
      <c r="L39" s="10">
        <v>41925</v>
      </c>
      <c r="M39" s="9" t="s">
        <v>40</v>
      </c>
      <c r="N39" s="76" t="s">
        <v>64</v>
      </c>
      <c r="O39" s="12">
        <v>861.94</v>
      </c>
      <c r="P39" s="82"/>
      <c r="Q39" s="9" t="s">
        <v>40</v>
      </c>
      <c r="R39" s="9" t="s">
        <v>40</v>
      </c>
      <c r="S39" s="9" t="s">
        <v>55</v>
      </c>
    </row>
    <row r="40" spans="1:19" s="23" customFormat="1" ht="15" x14ac:dyDescent="0.25">
      <c r="A40" s="9"/>
      <c r="B40" s="9" t="s">
        <v>125</v>
      </c>
      <c r="C40" s="9" t="s">
        <v>39</v>
      </c>
      <c r="D40" s="9" t="s">
        <v>40</v>
      </c>
      <c r="E40" s="9" t="s">
        <v>40</v>
      </c>
      <c r="F40" s="9" t="s">
        <v>40</v>
      </c>
      <c r="G40" s="6" t="s">
        <v>378</v>
      </c>
      <c r="H40" s="9"/>
      <c r="I40" s="14">
        <v>4</v>
      </c>
      <c r="J40" s="9" t="s">
        <v>99</v>
      </c>
      <c r="K40" s="9" t="s">
        <v>51</v>
      </c>
      <c r="L40" s="10"/>
      <c r="M40" s="9"/>
      <c r="N40" s="76" t="s">
        <v>64</v>
      </c>
      <c r="O40" s="12">
        <v>271.95</v>
      </c>
      <c r="P40" s="82"/>
      <c r="Q40" s="9" t="s">
        <v>40</v>
      </c>
      <c r="R40" s="9" t="s">
        <v>40</v>
      </c>
      <c r="S40" s="9" t="s">
        <v>40</v>
      </c>
    </row>
    <row r="41" spans="1:19" s="23" customFormat="1" ht="15" x14ac:dyDescent="0.25">
      <c r="A41" s="9"/>
      <c r="B41" s="9" t="s">
        <v>100</v>
      </c>
      <c r="C41" s="9" t="s">
        <v>58</v>
      </c>
      <c r="D41" s="9"/>
      <c r="E41" s="9"/>
      <c r="F41" s="9"/>
      <c r="G41" s="9" t="s">
        <v>31</v>
      </c>
      <c r="H41" s="9"/>
      <c r="I41" s="14">
        <v>3</v>
      </c>
      <c r="J41" s="9"/>
      <c r="K41" s="9" t="s">
        <v>51</v>
      </c>
      <c r="L41" s="10"/>
      <c r="M41" s="9"/>
      <c r="N41" s="76" t="s">
        <v>66</v>
      </c>
      <c r="O41" s="12" t="s">
        <v>144</v>
      </c>
      <c r="P41" s="82"/>
      <c r="Q41" s="12" t="s">
        <v>31</v>
      </c>
      <c r="R41" s="12" t="s">
        <v>31</v>
      </c>
      <c r="S41" s="12" t="s">
        <v>31</v>
      </c>
    </row>
    <row r="42" spans="1:19" s="23" customFormat="1" ht="15" x14ac:dyDescent="0.25">
      <c r="A42" s="9"/>
      <c r="B42" s="9" t="s">
        <v>101</v>
      </c>
      <c r="C42" s="9" t="s">
        <v>39</v>
      </c>
      <c r="D42" s="9" t="s">
        <v>40</v>
      </c>
      <c r="E42" s="9" t="s">
        <v>40</v>
      </c>
      <c r="F42" s="9" t="s">
        <v>40</v>
      </c>
      <c r="G42" s="6" t="s">
        <v>375</v>
      </c>
      <c r="H42" s="9"/>
      <c r="I42" s="14">
        <v>3</v>
      </c>
      <c r="J42" s="9"/>
      <c r="K42" s="9" t="s">
        <v>51</v>
      </c>
      <c r="L42" s="10">
        <v>41927</v>
      </c>
      <c r="M42" s="9" t="s">
        <v>40</v>
      </c>
      <c r="N42" s="76" t="s">
        <v>64</v>
      </c>
      <c r="O42" s="12">
        <v>491.68</v>
      </c>
      <c r="P42" s="82"/>
      <c r="Q42" s="9" t="s">
        <v>40</v>
      </c>
      <c r="R42" s="9"/>
      <c r="S42" s="9"/>
    </row>
    <row r="43" spans="1:19" s="23" customFormat="1" ht="15" x14ac:dyDescent="0.25">
      <c r="A43" s="9"/>
      <c r="B43" s="9" t="s">
        <v>105</v>
      </c>
      <c r="C43" s="9" t="s">
        <v>58</v>
      </c>
      <c r="D43" s="9"/>
      <c r="E43" s="9"/>
      <c r="F43" s="9"/>
      <c r="G43" s="9" t="s">
        <v>31</v>
      </c>
      <c r="H43" s="9"/>
      <c r="I43" s="14">
        <v>3</v>
      </c>
      <c r="J43" s="9"/>
      <c r="K43" s="9" t="s">
        <v>63</v>
      </c>
      <c r="L43" s="10">
        <v>41926</v>
      </c>
      <c r="M43" s="9"/>
      <c r="N43" s="76" t="s">
        <v>66</v>
      </c>
      <c r="O43" s="12" t="s">
        <v>144</v>
      </c>
      <c r="P43" s="82"/>
      <c r="Q43" s="12" t="s">
        <v>31</v>
      </c>
      <c r="R43" s="12" t="s">
        <v>31</v>
      </c>
      <c r="S43" s="12" t="s">
        <v>31</v>
      </c>
    </row>
    <row r="44" spans="1:19" s="23" customFormat="1" ht="15" x14ac:dyDescent="0.25">
      <c r="A44" s="9"/>
      <c r="B44" s="9" t="s">
        <v>106</v>
      </c>
      <c r="C44" s="9" t="s">
        <v>39</v>
      </c>
      <c r="D44" s="9" t="s">
        <v>40</v>
      </c>
      <c r="E44" s="9" t="s">
        <v>40</v>
      </c>
      <c r="F44" s="9" t="s">
        <v>40</v>
      </c>
      <c r="G44" s="9" t="s">
        <v>380</v>
      </c>
      <c r="H44" s="9"/>
      <c r="I44" s="14">
        <v>3</v>
      </c>
      <c r="J44" s="9" t="s">
        <v>111</v>
      </c>
      <c r="K44" s="9" t="s">
        <v>63</v>
      </c>
      <c r="L44" s="10">
        <v>41932</v>
      </c>
      <c r="M44" s="9" t="s">
        <v>40</v>
      </c>
      <c r="N44" s="76" t="s">
        <v>64</v>
      </c>
      <c r="O44" s="12">
        <v>344.76</v>
      </c>
      <c r="P44" s="82"/>
      <c r="Q44" s="9" t="s">
        <v>40</v>
      </c>
      <c r="R44" s="9" t="s">
        <v>40</v>
      </c>
      <c r="S44" s="9" t="s">
        <v>40</v>
      </c>
    </row>
    <row r="45" spans="1:19" s="23" customFormat="1" ht="15" x14ac:dyDescent="0.25">
      <c r="A45" s="9"/>
      <c r="B45" s="9" t="s">
        <v>108</v>
      </c>
      <c r="C45" s="9" t="s">
        <v>58</v>
      </c>
      <c r="D45" s="9" t="s">
        <v>40</v>
      </c>
      <c r="E45" s="9" t="s">
        <v>40</v>
      </c>
      <c r="F45" s="9" t="s">
        <v>40</v>
      </c>
      <c r="G45" s="9" t="s">
        <v>31</v>
      </c>
      <c r="H45" s="9"/>
      <c r="I45" s="14">
        <v>4</v>
      </c>
      <c r="J45" s="9" t="s">
        <v>109</v>
      </c>
      <c r="K45" s="9" t="s">
        <v>51</v>
      </c>
      <c r="L45" s="10"/>
      <c r="M45" s="9"/>
      <c r="N45" s="76" t="s">
        <v>112</v>
      </c>
      <c r="O45" s="12" t="s">
        <v>144</v>
      </c>
      <c r="P45" s="83"/>
      <c r="Q45" s="16" t="s">
        <v>31</v>
      </c>
      <c r="R45" s="16" t="s">
        <v>31</v>
      </c>
      <c r="S45" s="16" t="s">
        <v>31</v>
      </c>
    </row>
    <row r="46" spans="1:19" s="23" customFormat="1" ht="15" x14ac:dyDescent="0.25">
      <c r="A46" s="9"/>
      <c r="B46" s="9" t="s">
        <v>110</v>
      </c>
      <c r="C46" s="9" t="s">
        <v>39</v>
      </c>
      <c r="D46" s="9" t="s">
        <v>40</v>
      </c>
      <c r="E46" s="9" t="s">
        <v>40</v>
      </c>
      <c r="F46" s="9" t="s">
        <v>40</v>
      </c>
      <c r="G46" s="6" t="s">
        <v>379</v>
      </c>
      <c r="H46" s="9"/>
      <c r="I46" s="14">
        <v>6</v>
      </c>
      <c r="J46" s="9"/>
      <c r="K46" s="9" t="s">
        <v>51</v>
      </c>
      <c r="L46" s="10">
        <v>41947</v>
      </c>
      <c r="M46" s="9"/>
      <c r="N46" s="76" t="s">
        <v>64</v>
      </c>
      <c r="O46" s="12">
        <v>1026.3499999999999</v>
      </c>
      <c r="P46" s="82"/>
      <c r="Q46" s="9" t="s">
        <v>40</v>
      </c>
      <c r="R46" s="9" t="s">
        <v>40</v>
      </c>
      <c r="S46" s="9" t="s">
        <v>55</v>
      </c>
    </row>
    <row r="47" spans="1:19" s="23" customFormat="1" ht="15" x14ac:dyDescent="0.25">
      <c r="A47" s="9"/>
      <c r="B47" s="9" t="s">
        <v>114</v>
      </c>
      <c r="C47" s="9" t="s">
        <v>39</v>
      </c>
      <c r="D47" s="9" t="s">
        <v>40</v>
      </c>
      <c r="E47" s="9" t="s">
        <v>40</v>
      </c>
      <c r="F47" s="9" t="s">
        <v>40</v>
      </c>
      <c r="G47" s="6" t="s">
        <v>374</v>
      </c>
      <c r="H47" s="9"/>
      <c r="I47" s="14">
        <v>4</v>
      </c>
      <c r="J47" s="9"/>
      <c r="K47" s="9" t="s">
        <v>63</v>
      </c>
      <c r="L47" s="10">
        <v>42067</v>
      </c>
      <c r="M47" s="9"/>
      <c r="N47" s="77" t="s">
        <v>65</v>
      </c>
      <c r="O47" s="12" t="s">
        <v>144</v>
      </c>
      <c r="P47" s="82">
        <v>3473.43</v>
      </c>
      <c r="Q47" s="9" t="s">
        <v>40</v>
      </c>
      <c r="R47" s="9" t="s">
        <v>40</v>
      </c>
      <c r="S47" s="9"/>
    </row>
    <row r="48" spans="1:19" s="23" customFormat="1" ht="15" x14ac:dyDescent="0.25">
      <c r="A48" s="9"/>
      <c r="B48" s="9" t="s">
        <v>113</v>
      </c>
      <c r="C48" s="9" t="s">
        <v>39</v>
      </c>
      <c r="D48" s="9" t="s">
        <v>40</v>
      </c>
      <c r="E48" s="9" t="s">
        <v>40</v>
      </c>
      <c r="F48" s="9" t="s">
        <v>40</v>
      </c>
      <c r="G48" s="9" t="s">
        <v>386</v>
      </c>
      <c r="H48" s="9"/>
      <c r="I48" s="14">
        <v>3</v>
      </c>
      <c r="J48" s="9"/>
      <c r="K48" s="9" t="s">
        <v>51</v>
      </c>
      <c r="L48" s="10"/>
      <c r="M48" s="9"/>
      <c r="N48" s="76" t="s">
        <v>64</v>
      </c>
      <c r="O48" s="12">
        <v>281.45</v>
      </c>
      <c r="P48" s="82"/>
      <c r="Q48" s="9" t="s">
        <v>40</v>
      </c>
      <c r="R48" s="9" t="s">
        <v>40</v>
      </c>
      <c r="S48" s="9" t="s">
        <v>40</v>
      </c>
    </row>
    <row r="49" spans="1:19" s="23" customFormat="1" ht="15" x14ac:dyDescent="0.25">
      <c r="A49" s="9"/>
      <c r="B49" s="9" t="s">
        <v>115</v>
      </c>
      <c r="C49" s="9" t="s">
        <v>39</v>
      </c>
      <c r="D49" s="9"/>
      <c r="E49" s="9" t="s">
        <v>40</v>
      </c>
      <c r="F49" s="9" t="s">
        <v>40</v>
      </c>
      <c r="G49" s="9" t="s">
        <v>386</v>
      </c>
      <c r="H49" s="9"/>
      <c r="I49" s="14">
        <v>3</v>
      </c>
      <c r="J49" s="9"/>
      <c r="K49" s="9" t="s">
        <v>63</v>
      </c>
      <c r="L49" s="10"/>
      <c r="M49" s="9"/>
      <c r="N49" s="76" t="s">
        <v>64</v>
      </c>
      <c r="O49" s="12">
        <v>1029.51</v>
      </c>
      <c r="P49" s="82"/>
      <c r="Q49" s="9" t="s">
        <v>40</v>
      </c>
      <c r="R49" s="9" t="s">
        <v>40</v>
      </c>
      <c r="S49" s="9" t="s">
        <v>55</v>
      </c>
    </row>
    <row r="50" spans="1:19" s="23" customFormat="1" ht="15" x14ac:dyDescent="0.25">
      <c r="A50" s="9"/>
      <c r="B50" s="9" t="s">
        <v>116</v>
      </c>
      <c r="C50" s="9" t="s">
        <v>39</v>
      </c>
      <c r="D50" s="9" t="s">
        <v>40</v>
      </c>
      <c r="E50" s="9" t="s">
        <v>40</v>
      </c>
      <c r="F50" s="9" t="s">
        <v>40</v>
      </c>
      <c r="G50" s="9" t="s">
        <v>386</v>
      </c>
      <c r="H50" s="9"/>
      <c r="I50" s="14">
        <v>1</v>
      </c>
      <c r="J50" s="9"/>
      <c r="K50" s="9" t="s">
        <v>42</v>
      </c>
      <c r="L50" s="10">
        <v>41962</v>
      </c>
      <c r="M50" s="9" t="s">
        <v>40</v>
      </c>
      <c r="N50" s="76" t="s">
        <v>64</v>
      </c>
      <c r="O50" s="12">
        <v>1419.41</v>
      </c>
      <c r="P50" s="82"/>
      <c r="Q50" s="9" t="s">
        <v>40</v>
      </c>
      <c r="R50" s="9" t="s">
        <v>40</v>
      </c>
      <c r="S50" s="9" t="s">
        <v>132</v>
      </c>
    </row>
    <row r="51" spans="1:19" s="23" customFormat="1" ht="15" x14ac:dyDescent="0.25">
      <c r="A51" s="9"/>
      <c r="B51" s="9" t="s">
        <v>117</v>
      </c>
      <c r="C51" s="9" t="s">
        <v>39</v>
      </c>
      <c r="D51" s="9" t="s">
        <v>40</v>
      </c>
      <c r="E51" s="9" t="s">
        <v>40</v>
      </c>
      <c r="F51" s="9" t="s">
        <v>40</v>
      </c>
      <c r="G51" s="6" t="s">
        <v>385</v>
      </c>
      <c r="H51" s="9"/>
      <c r="I51" s="14">
        <v>4</v>
      </c>
      <c r="J51" s="9"/>
      <c r="K51" s="9" t="s">
        <v>63</v>
      </c>
      <c r="L51" s="10">
        <v>41957</v>
      </c>
      <c r="M51" s="9" t="s">
        <v>40</v>
      </c>
      <c r="N51" s="77" t="s">
        <v>64</v>
      </c>
      <c r="O51" s="16">
        <v>1575.98</v>
      </c>
      <c r="P51" s="83"/>
      <c r="Q51" s="9" t="s">
        <v>40</v>
      </c>
      <c r="R51" s="9"/>
      <c r="S51" s="17" t="s">
        <v>40</v>
      </c>
    </row>
    <row r="52" spans="1:19" s="23" customFormat="1" ht="15" x14ac:dyDescent="0.25">
      <c r="A52" s="9"/>
      <c r="B52" s="9" t="s">
        <v>118</v>
      </c>
      <c r="C52" s="9" t="s">
        <v>39</v>
      </c>
      <c r="D52" s="9" t="s">
        <v>40</v>
      </c>
      <c r="E52" s="9" t="s">
        <v>40</v>
      </c>
      <c r="F52" s="9" t="s">
        <v>40</v>
      </c>
      <c r="G52" s="9" t="s">
        <v>376</v>
      </c>
      <c r="H52" s="9"/>
      <c r="I52" s="14">
        <v>5</v>
      </c>
      <c r="J52" s="9"/>
      <c r="K52" s="9" t="s">
        <v>51</v>
      </c>
      <c r="L52" s="10">
        <v>42033</v>
      </c>
      <c r="M52" s="9" t="s">
        <v>40</v>
      </c>
      <c r="N52" s="77" t="s">
        <v>76</v>
      </c>
      <c r="O52" s="16">
        <v>1964.92</v>
      </c>
      <c r="P52" s="83"/>
      <c r="Q52" s="9" t="s">
        <v>40</v>
      </c>
      <c r="R52" s="9" t="s">
        <v>40</v>
      </c>
      <c r="S52" s="9" t="s">
        <v>40</v>
      </c>
    </row>
    <row r="53" spans="1:19" s="23" customFormat="1" ht="15" x14ac:dyDescent="0.25">
      <c r="A53" s="9"/>
      <c r="B53" s="9" t="s">
        <v>120</v>
      </c>
      <c r="C53" s="9" t="s">
        <v>39</v>
      </c>
      <c r="D53" s="9" t="s">
        <v>49</v>
      </c>
      <c r="E53" s="9" t="s">
        <v>49</v>
      </c>
      <c r="F53" s="9" t="s">
        <v>49</v>
      </c>
      <c r="G53" s="6" t="s">
        <v>375</v>
      </c>
      <c r="H53" s="9"/>
      <c r="I53" s="14">
        <v>3</v>
      </c>
      <c r="J53" s="9" t="s">
        <v>61</v>
      </c>
      <c r="K53" s="9" t="s">
        <v>63</v>
      </c>
      <c r="L53" s="10">
        <v>41954</v>
      </c>
      <c r="M53" s="9" t="s">
        <v>40</v>
      </c>
      <c r="N53" s="77" t="s">
        <v>65</v>
      </c>
      <c r="O53" s="12">
        <v>599.58000000000004</v>
      </c>
      <c r="P53" s="82"/>
      <c r="Q53" s="9" t="s">
        <v>40</v>
      </c>
      <c r="R53" s="9" t="s">
        <v>40</v>
      </c>
      <c r="S53" s="9" t="s">
        <v>55</v>
      </c>
    </row>
    <row r="54" spans="1:19" s="23" customFormat="1" ht="15" x14ac:dyDescent="0.25">
      <c r="A54" s="9"/>
      <c r="B54" s="9" t="s">
        <v>147</v>
      </c>
      <c r="C54" s="9" t="s">
        <v>39</v>
      </c>
      <c r="D54" s="9" t="s">
        <v>40</v>
      </c>
      <c r="E54" s="9" t="s">
        <v>40</v>
      </c>
      <c r="F54" s="9" t="s">
        <v>40</v>
      </c>
      <c r="G54" s="6" t="s">
        <v>377</v>
      </c>
      <c r="H54" s="9"/>
      <c r="I54" s="14">
        <v>3</v>
      </c>
      <c r="J54" s="9"/>
      <c r="K54" s="9" t="s">
        <v>63</v>
      </c>
      <c r="L54" s="10">
        <v>41960</v>
      </c>
      <c r="M54" s="9" t="s">
        <v>40</v>
      </c>
      <c r="N54" s="76" t="s">
        <v>64</v>
      </c>
      <c r="O54" s="16">
        <v>324.70999999999998</v>
      </c>
      <c r="P54" s="83"/>
      <c r="Q54" s="9"/>
      <c r="R54" s="9"/>
      <c r="S54" s="9"/>
    </row>
    <row r="55" spans="1:19" s="23" customFormat="1" ht="15" x14ac:dyDescent="0.25">
      <c r="A55" s="9"/>
      <c r="B55" s="9" t="s">
        <v>122</v>
      </c>
      <c r="C55" s="9" t="s">
        <v>39</v>
      </c>
      <c r="D55" s="9" t="s">
        <v>40</v>
      </c>
      <c r="E55" s="9" t="s">
        <v>40</v>
      </c>
      <c r="F55" s="9" t="s">
        <v>40</v>
      </c>
      <c r="G55" s="6" t="s">
        <v>369</v>
      </c>
      <c r="H55" s="9"/>
      <c r="I55" s="14">
        <v>2</v>
      </c>
      <c r="J55" s="9"/>
      <c r="K55" s="9" t="s">
        <v>51</v>
      </c>
      <c r="L55" s="10">
        <v>41983</v>
      </c>
      <c r="M55" s="9" t="s">
        <v>40</v>
      </c>
      <c r="N55" s="76" t="s">
        <v>64</v>
      </c>
      <c r="O55" s="12">
        <v>1241.32</v>
      </c>
      <c r="P55" s="82"/>
      <c r="Q55" s="9" t="s">
        <v>40</v>
      </c>
      <c r="R55" s="9" t="s">
        <v>40</v>
      </c>
      <c r="S55" s="9" t="s">
        <v>55</v>
      </c>
    </row>
    <row r="56" spans="1:19" s="23" customFormat="1" ht="15" x14ac:dyDescent="0.25">
      <c r="A56" s="9"/>
      <c r="B56" s="9" t="s">
        <v>121</v>
      </c>
      <c r="C56" s="9" t="s">
        <v>39</v>
      </c>
      <c r="D56" s="9" t="s">
        <v>40</v>
      </c>
      <c r="E56" s="9" t="s">
        <v>40</v>
      </c>
      <c r="F56" s="9" t="s">
        <v>40</v>
      </c>
      <c r="G56" s="6" t="s">
        <v>369</v>
      </c>
      <c r="H56" s="9"/>
      <c r="I56" s="14">
        <v>1</v>
      </c>
      <c r="J56" s="9" t="s">
        <v>123</v>
      </c>
      <c r="K56" s="9" t="s">
        <v>51</v>
      </c>
      <c r="L56" s="10"/>
      <c r="M56" s="9"/>
      <c r="N56" s="76" t="s">
        <v>64</v>
      </c>
      <c r="O56" s="12">
        <v>1125.68</v>
      </c>
      <c r="P56" s="82"/>
      <c r="Q56" s="9" t="s">
        <v>40</v>
      </c>
      <c r="R56" s="9" t="s">
        <v>40</v>
      </c>
      <c r="S56" s="9" t="s">
        <v>40</v>
      </c>
    </row>
    <row r="57" spans="1:19" s="23" customFormat="1" ht="15" x14ac:dyDescent="0.25">
      <c r="A57" s="9"/>
      <c r="B57" s="9" t="s">
        <v>126</v>
      </c>
      <c r="C57" s="9" t="s">
        <v>39</v>
      </c>
      <c r="D57" s="9" t="s">
        <v>40</v>
      </c>
      <c r="E57" s="9" t="s">
        <v>40</v>
      </c>
      <c r="F57" s="9" t="s">
        <v>40</v>
      </c>
      <c r="G57" s="6" t="s">
        <v>381</v>
      </c>
      <c r="H57" s="9"/>
      <c r="I57" s="14">
        <v>3</v>
      </c>
      <c r="J57" s="9" t="s">
        <v>128</v>
      </c>
      <c r="K57" s="9" t="s">
        <v>51</v>
      </c>
      <c r="L57" s="10">
        <v>41983</v>
      </c>
      <c r="M57" s="9" t="s">
        <v>40</v>
      </c>
      <c r="N57" s="76" t="s">
        <v>64</v>
      </c>
      <c r="O57" s="12">
        <v>696.78</v>
      </c>
      <c r="P57" s="82"/>
      <c r="Q57" s="9" t="s">
        <v>40</v>
      </c>
      <c r="R57" s="9" t="s">
        <v>40</v>
      </c>
      <c r="S57" s="9" t="s">
        <v>55</v>
      </c>
    </row>
    <row r="58" spans="1:19" s="23" customFormat="1" ht="15" x14ac:dyDescent="0.25">
      <c r="A58" s="9"/>
      <c r="B58" s="9" t="s">
        <v>129</v>
      </c>
      <c r="C58" s="9" t="s">
        <v>39</v>
      </c>
      <c r="D58" s="9" t="s">
        <v>40</v>
      </c>
      <c r="E58" s="9" t="s">
        <v>40</v>
      </c>
      <c r="F58" s="9" t="s">
        <v>40</v>
      </c>
      <c r="G58" s="6" t="s">
        <v>379</v>
      </c>
      <c r="H58" s="9"/>
      <c r="I58" s="14">
        <v>6</v>
      </c>
      <c r="J58" s="9" t="s">
        <v>130</v>
      </c>
      <c r="K58" s="9" t="s">
        <v>51</v>
      </c>
      <c r="L58" s="10"/>
      <c r="M58" s="9"/>
      <c r="N58" s="76" t="s">
        <v>64</v>
      </c>
      <c r="O58" s="12">
        <v>652.42999999999995</v>
      </c>
      <c r="P58" s="82"/>
      <c r="Q58" s="9" t="s">
        <v>40</v>
      </c>
      <c r="R58" s="9" t="s">
        <v>40</v>
      </c>
      <c r="S58" s="9" t="s">
        <v>40</v>
      </c>
    </row>
    <row r="59" spans="1:19" s="23" customFormat="1" ht="15" x14ac:dyDescent="0.25">
      <c r="A59" s="9"/>
      <c r="B59" s="9" t="s">
        <v>131</v>
      </c>
      <c r="C59" s="9" t="s">
        <v>39</v>
      </c>
      <c r="D59" s="9" t="s">
        <v>40</v>
      </c>
      <c r="E59" s="9" t="s">
        <v>40</v>
      </c>
      <c r="F59" s="9" t="s">
        <v>40</v>
      </c>
      <c r="G59" s="6" t="s">
        <v>373</v>
      </c>
      <c r="H59" s="9"/>
      <c r="I59" s="14">
        <v>6</v>
      </c>
      <c r="J59" s="9"/>
      <c r="K59" s="9" t="s">
        <v>51</v>
      </c>
      <c r="L59" s="10">
        <v>41985</v>
      </c>
      <c r="M59" s="9" t="s">
        <v>40</v>
      </c>
      <c r="N59" s="77" t="s">
        <v>64</v>
      </c>
      <c r="O59" s="16">
        <v>930.27</v>
      </c>
      <c r="P59" s="83"/>
      <c r="Q59" s="9" t="s">
        <v>40</v>
      </c>
      <c r="R59" s="9" t="s">
        <v>40</v>
      </c>
      <c r="S59" s="9" t="s">
        <v>146</v>
      </c>
    </row>
    <row r="60" spans="1:19" s="23" customFormat="1" ht="15" x14ac:dyDescent="0.25">
      <c r="A60" s="9"/>
      <c r="B60" s="9" t="s">
        <v>133</v>
      </c>
      <c r="C60" s="9" t="s">
        <v>63</v>
      </c>
      <c r="D60" s="9"/>
      <c r="E60" s="9"/>
      <c r="F60" s="9" t="s">
        <v>40</v>
      </c>
      <c r="G60" s="9" t="s">
        <v>31</v>
      </c>
      <c r="H60" s="9"/>
      <c r="I60" s="14">
        <v>3</v>
      </c>
      <c r="J60" s="9" t="s">
        <v>134</v>
      </c>
      <c r="K60" s="9" t="s">
        <v>51</v>
      </c>
      <c r="L60" s="10"/>
      <c r="M60" s="9"/>
      <c r="N60" s="76" t="s">
        <v>142</v>
      </c>
      <c r="O60" s="12" t="s">
        <v>144</v>
      </c>
      <c r="P60" s="82"/>
      <c r="Q60" s="12" t="s">
        <v>31</v>
      </c>
      <c r="R60" s="12" t="s">
        <v>31</v>
      </c>
      <c r="S60" s="12" t="s">
        <v>31</v>
      </c>
    </row>
    <row r="61" spans="1:19" s="23" customFormat="1" ht="15" x14ac:dyDescent="0.25">
      <c r="A61" s="9"/>
      <c r="B61" s="9" t="s">
        <v>136</v>
      </c>
      <c r="C61" s="9" t="s">
        <v>39</v>
      </c>
      <c r="D61" s="9" t="s">
        <v>40</v>
      </c>
      <c r="E61" s="9" t="s">
        <v>40</v>
      </c>
      <c r="F61" s="9" t="s">
        <v>40</v>
      </c>
      <c r="G61" s="6" t="s">
        <v>379</v>
      </c>
      <c r="H61" s="9"/>
      <c r="I61" s="14">
        <v>6</v>
      </c>
      <c r="J61" s="9" t="s">
        <v>137</v>
      </c>
      <c r="K61" s="9" t="s">
        <v>42</v>
      </c>
      <c r="L61" s="10"/>
      <c r="M61" s="9"/>
      <c r="N61" s="77" t="s">
        <v>76</v>
      </c>
      <c r="O61" s="16">
        <v>1276.03</v>
      </c>
      <c r="P61" s="83"/>
      <c r="Q61" s="9" t="s">
        <v>40</v>
      </c>
      <c r="R61" s="9" t="s">
        <v>55</v>
      </c>
      <c r="S61" s="9" t="s">
        <v>144</v>
      </c>
    </row>
    <row r="62" spans="1:19" s="23" customFormat="1" ht="15" x14ac:dyDescent="0.25">
      <c r="A62" s="9"/>
      <c r="B62" s="9" t="s">
        <v>135</v>
      </c>
      <c r="C62" s="9" t="s">
        <v>39</v>
      </c>
      <c r="D62" s="9" t="s">
        <v>40</v>
      </c>
      <c r="E62" s="9" t="s">
        <v>40</v>
      </c>
      <c r="F62" s="9" t="s">
        <v>40</v>
      </c>
      <c r="G62" s="9" t="s">
        <v>386</v>
      </c>
      <c r="H62" s="9"/>
      <c r="I62" s="14">
        <v>3</v>
      </c>
      <c r="J62" s="9"/>
      <c r="K62" s="9" t="s">
        <v>63</v>
      </c>
      <c r="L62" s="10">
        <v>41991</v>
      </c>
      <c r="M62" s="9" t="s">
        <v>40</v>
      </c>
      <c r="N62" s="76" t="s">
        <v>76</v>
      </c>
      <c r="O62" s="12">
        <v>501.43</v>
      </c>
      <c r="P62" s="82"/>
      <c r="Q62" s="9" t="s">
        <v>40</v>
      </c>
      <c r="R62" s="9" t="s">
        <v>40</v>
      </c>
      <c r="S62" s="9" t="s">
        <v>40</v>
      </c>
    </row>
    <row r="63" spans="1:19" s="23" customFormat="1" ht="15" x14ac:dyDescent="0.25">
      <c r="A63" s="9"/>
      <c r="B63" s="9" t="s">
        <v>138</v>
      </c>
      <c r="C63" s="9" t="s">
        <v>39</v>
      </c>
      <c r="D63" s="9" t="s">
        <v>40</v>
      </c>
      <c r="E63" s="9" t="s">
        <v>40</v>
      </c>
      <c r="F63" s="9" t="s">
        <v>40</v>
      </c>
      <c r="G63" s="6" t="s">
        <v>381</v>
      </c>
      <c r="H63" s="9"/>
      <c r="I63" s="14">
        <v>3</v>
      </c>
      <c r="J63" s="9" t="s">
        <v>99</v>
      </c>
      <c r="K63" s="9" t="s">
        <v>51</v>
      </c>
      <c r="L63" s="10">
        <v>42013</v>
      </c>
      <c r="M63" s="9" t="s">
        <v>40</v>
      </c>
      <c r="N63" s="77" t="s">
        <v>64</v>
      </c>
      <c r="O63" s="12">
        <v>531.78</v>
      </c>
      <c r="P63" s="82"/>
      <c r="Q63" s="9" t="s">
        <v>40</v>
      </c>
      <c r="R63" s="9" t="s">
        <v>40</v>
      </c>
      <c r="S63" s="9" t="s">
        <v>55</v>
      </c>
    </row>
    <row r="64" spans="1:19" s="23" customFormat="1" ht="15" x14ac:dyDescent="0.25">
      <c r="A64" s="9"/>
      <c r="B64" s="9" t="s">
        <v>139</v>
      </c>
      <c r="C64" s="9" t="s">
        <v>58</v>
      </c>
      <c r="D64" s="9" t="s">
        <v>146</v>
      </c>
      <c r="E64" s="9" t="s">
        <v>40</v>
      </c>
      <c r="F64" s="9" t="s">
        <v>40</v>
      </c>
      <c r="G64" s="6" t="s">
        <v>379</v>
      </c>
      <c r="H64" s="9" t="s">
        <v>373</v>
      </c>
      <c r="I64" s="14">
        <v>6</v>
      </c>
      <c r="J64" s="9"/>
      <c r="K64" s="9" t="s">
        <v>63</v>
      </c>
      <c r="L64" s="10">
        <v>41981</v>
      </c>
      <c r="M64" s="9"/>
      <c r="N64" s="77" t="s">
        <v>66</v>
      </c>
      <c r="O64" s="12" t="s">
        <v>144</v>
      </c>
      <c r="P64" s="82">
        <v>915.83</v>
      </c>
      <c r="Q64" s="9" t="s">
        <v>40</v>
      </c>
      <c r="R64" s="9" t="s">
        <v>40</v>
      </c>
      <c r="S64" s="9" t="s">
        <v>55</v>
      </c>
    </row>
    <row r="65" spans="1:19" s="23" customFormat="1" ht="15" x14ac:dyDescent="0.25">
      <c r="A65" s="9"/>
      <c r="B65" s="9" t="s">
        <v>140</v>
      </c>
      <c r="C65" s="9" t="s">
        <v>63</v>
      </c>
      <c r="D65" s="9"/>
      <c r="E65" s="9"/>
      <c r="F65" s="9"/>
      <c r="G65" s="9" t="s">
        <v>31</v>
      </c>
      <c r="H65" s="9"/>
      <c r="I65" s="14">
        <v>3</v>
      </c>
      <c r="J65" s="9"/>
      <c r="K65" s="9" t="s">
        <v>63</v>
      </c>
      <c r="L65" s="10"/>
      <c r="M65" s="9"/>
      <c r="N65" s="76" t="s">
        <v>142</v>
      </c>
      <c r="O65" s="12" t="s">
        <v>144</v>
      </c>
      <c r="P65" s="82"/>
      <c r="Q65" s="12" t="s">
        <v>31</v>
      </c>
      <c r="R65" s="12" t="s">
        <v>31</v>
      </c>
      <c r="S65" s="12" t="s">
        <v>31</v>
      </c>
    </row>
    <row r="66" spans="1:19" s="23" customFormat="1" ht="15" x14ac:dyDescent="0.25">
      <c r="A66" s="9"/>
      <c r="B66" s="9" t="s">
        <v>141</v>
      </c>
      <c r="C66" s="9" t="s">
        <v>39</v>
      </c>
      <c r="D66" s="9" t="s">
        <v>40</v>
      </c>
      <c r="E66" s="9" t="s">
        <v>40</v>
      </c>
      <c r="F66" s="9" t="s">
        <v>40</v>
      </c>
      <c r="G66" s="9" t="s">
        <v>386</v>
      </c>
      <c r="H66" s="9"/>
      <c r="I66" s="14">
        <v>3</v>
      </c>
      <c r="J66" s="9"/>
      <c r="K66" s="9" t="s">
        <v>51</v>
      </c>
      <c r="L66" s="10">
        <v>41983</v>
      </c>
      <c r="M66" s="9" t="s">
        <v>40</v>
      </c>
      <c r="N66" s="77" t="s">
        <v>64</v>
      </c>
      <c r="O66" s="12">
        <v>444.66</v>
      </c>
      <c r="P66" s="82"/>
      <c r="Q66" s="9" t="s">
        <v>40</v>
      </c>
      <c r="R66" s="9" t="s">
        <v>40</v>
      </c>
      <c r="S66" s="9" t="s">
        <v>55</v>
      </c>
    </row>
    <row r="67" spans="1:19" s="23" customFormat="1" ht="15" x14ac:dyDescent="0.25">
      <c r="A67" s="9"/>
      <c r="B67" s="9" t="s">
        <v>154</v>
      </c>
      <c r="C67" s="9" t="s">
        <v>39</v>
      </c>
      <c r="D67" s="9" t="s">
        <v>40</v>
      </c>
      <c r="E67" s="9" t="s">
        <v>40</v>
      </c>
      <c r="F67" s="9" t="s">
        <v>40</v>
      </c>
      <c r="G67" s="6" t="s">
        <v>381</v>
      </c>
      <c r="H67" s="9"/>
      <c r="I67" s="14">
        <v>3</v>
      </c>
      <c r="J67" s="9" t="s">
        <v>155</v>
      </c>
      <c r="K67" s="9" t="s">
        <v>63</v>
      </c>
      <c r="L67" s="10">
        <v>42013</v>
      </c>
      <c r="M67" s="9" t="s">
        <v>40</v>
      </c>
      <c r="N67" s="77" t="s">
        <v>64</v>
      </c>
      <c r="O67" s="12">
        <v>731</v>
      </c>
      <c r="P67" s="82"/>
      <c r="Q67" s="17" t="s">
        <v>40</v>
      </c>
      <c r="R67" s="9" t="s">
        <v>40</v>
      </c>
      <c r="S67" s="9" t="s">
        <v>40</v>
      </c>
    </row>
    <row r="68" spans="1:19" s="23" customFormat="1" ht="15" x14ac:dyDescent="0.25">
      <c r="A68" s="9"/>
      <c r="B68" s="9" t="s">
        <v>143</v>
      </c>
      <c r="C68" s="9" t="s">
        <v>58</v>
      </c>
      <c r="D68" s="9"/>
      <c r="E68" s="9"/>
      <c r="F68" s="9"/>
      <c r="G68" s="6" t="s">
        <v>381</v>
      </c>
      <c r="H68" s="9"/>
      <c r="I68" s="14">
        <v>3</v>
      </c>
      <c r="J68" s="9" t="s">
        <v>156</v>
      </c>
      <c r="K68" s="9" t="s">
        <v>63</v>
      </c>
      <c r="L68" s="10">
        <v>42013</v>
      </c>
      <c r="M68" s="9" t="s">
        <v>40</v>
      </c>
      <c r="N68" s="77" t="s">
        <v>66</v>
      </c>
      <c r="O68" s="12" t="s">
        <v>144</v>
      </c>
      <c r="P68" s="83"/>
      <c r="Q68" s="16" t="s">
        <v>31</v>
      </c>
      <c r="R68" s="16" t="s">
        <v>31</v>
      </c>
      <c r="S68" s="16" t="s">
        <v>31</v>
      </c>
    </row>
    <row r="69" spans="1:19" s="23" customFormat="1" ht="15" x14ac:dyDescent="0.25">
      <c r="A69" s="9"/>
      <c r="B69" s="9" t="s">
        <v>143</v>
      </c>
      <c r="C69" s="9" t="s">
        <v>58</v>
      </c>
      <c r="D69" s="9" t="s">
        <v>40</v>
      </c>
      <c r="E69" s="9" t="s">
        <v>40</v>
      </c>
      <c r="F69" s="9" t="s">
        <v>40</v>
      </c>
      <c r="G69" s="6" t="s">
        <v>377</v>
      </c>
      <c r="H69" s="9"/>
      <c r="I69" s="14">
        <v>3</v>
      </c>
      <c r="J69" s="9"/>
      <c r="K69" s="9" t="s">
        <v>63</v>
      </c>
      <c r="L69" s="18"/>
      <c r="M69" s="17"/>
      <c r="N69" s="78" t="s">
        <v>66</v>
      </c>
      <c r="O69" s="12" t="s">
        <v>144</v>
      </c>
      <c r="P69" s="83"/>
      <c r="Q69" s="16" t="s">
        <v>31</v>
      </c>
      <c r="R69" s="16" t="s">
        <v>31</v>
      </c>
      <c r="S69" s="16" t="s">
        <v>31</v>
      </c>
    </row>
    <row r="70" spans="1:19" s="23" customFormat="1" ht="15" x14ac:dyDescent="0.25">
      <c r="A70" s="9"/>
      <c r="B70" s="9" t="s">
        <v>145</v>
      </c>
      <c r="C70" s="9" t="s">
        <v>58</v>
      </c>
      <c r="D70" s="9" t="s">
        <v>40</v>
      </c>
      <c r="E70" s="9" t="s">
        <v>40</v>
      </c>
      <c r="F70" s="9" t="s">
        <v>40</v>
      </c>
      <c r="G70" s="6" t="s">
        <v>381</v>
      </c>
      <c r="H70" s="9"/>
      <c r="I70" s="14">
        <v>3</v>
      </c>
      <c r="J70" s="9"/>
      <c r="K70" s="9" t="s">
        <v>51</v>
      </c>
      <c r="L70" s="10">
        <v>42019</v>
      </c>
      <c r="M70" s="9"/>
      <c r="N70" s="77" t="s">
        <v>66</v>
      </c>
      <c r="O70" s="12" t="s">
        <v>144</v>
      </c>
      <c r="P70" s="82">
        <v>234</v>
      </c>
      <c r="Q70" s="9" t="s">
        <v>40</v>
      </c>
      <c r="R70" s="9" t="s">
        <v>40</v>
      </c>
      <c r="S70" s="9" t="s">
        <v>144</v>
      </c>
    </row>
    <row r="71" spans="1:19" s="23" customFormat="1" ht="15" x14ac:dyDescent="0.25">
      <c r="A71" s="9"/>
      <c r="B71" s="9" t="s">
        <v>152</v>
      </c>
      <c r="C71" s="9" t="s">
        <v>39</v>
      </c>
      <c r="D71" s="9" t="s">
        <v>40</v>
      </c>
      <c r="E71" s="9" t="s">
        <v>40</v>
      </c>
      <c r="F71" s="9" t="s">
        <v>40</v>
      </c>
      <c r="G71" s="9" t="s">
        <v>380</v>
      </c>
      <c r="H71" s="9"/>
      <c r="I71" s="14">
        <v>3</v>
      </c>
      <c r="J71" s="9"/>
      <c r="K71" s="9" t="s">
        <v>63</v>
      </c>
      <c r="L71" s="10">
        <v>42018</v>
      </c>
      <c r="M71" s="9"/>
      <c r="N71" s="76" t="s">
        <v>64</v>
      </c>
      <c r="O71" s="12">
        <v>324.25</v>
      </c>
      <c r="P71" s="82"/>
      <c r="Q71" s="9" t="s">
        <v>40</v>
      </c>
      <c r="R71" s="17" t="s">
        <v>40</v>
      </c>
      <c r="S71" s="9" t="s">
        <v>40</v>
      </c>
    </row>
    <row r="72" spans="1:19" s="23" customFormat="1" ht="15" x14ac:dyDescent="0.25">
      <c r="A72" s="9"/>
      <c r="B72" s="9" t="s">
        <v>149</v>
      </c>
      <c r="C72" s="9" t="s">
        <v>39</v>
      </c>
      <c r="D72" s="9" t="s">
        <v>144</v>
      </c>
      <c r="E72" s="9" t="s">
        <v>144</v>
      </c>
      <c r="F72" s="9" t="s">
        <v>40</v>
      </c>
      <c r="G72" s="6" t="s">
        <v>375</v>
      </c>
      <c r="H72" s="9"/>
      <c r="I72" s="14">
        <v>3</v>
      </c>
      <c r="J72" s="9"/>
      <c r="K72" s="9" t="s">
        <v>63</v>
      </c>
      <c r="L72" s="10">
        <v>42011</v>
      </c>
      <c r="M72" s="9"/>
      <c r="N72" s="77" t="s">
        <v>65</v>
      </c>
      <c r="O72" s="12">
        <v>529.84</v>
      </c>
      <c r="P72" s="82"/>
      <c r="Q72" s="9" t="s">
        <v>40</v>
      </c>
      <c r="R72" s="9" t="s">
        <v>40</v>
      </c>
      <c r="S72" s="9" t="s">
        <v>40</v>
      </c>
    </row>
    <row r="73" spans="1:19" s="23" customFormat="1" ht="15" x14ac:dyDescent="0.25">
      <c r="A73" s="9"/>
      <c r="B73" s="9" t="s">
        <v>150</v>
      </c>
      <c r="C73" s="9" t="s">
        <v>39</v>
      </c>
      <c r="D73" s="9" t="s">
        <v>40</v>
      </c>
      <c r="E73" s="9" t="s">
        <v>40</v>
      </c>
      <c r="F73" s="9" t="s">
        <v>40</v>
      </c>
      <c r="G73" s="9" t="s">
        <v>386</v>
      </c>
      <c r="H73" s="9"/>
      <c r="I73" s="14">
        <v>3</v>
      </c>
      <c r="J73" s="9"/>
      <c r="K73" s="9" t="s">
        <v>51</v>
      </c>
      <c r="L73" s="10"/>
      <c r="M73" s="9"/>
      <c r="N73" s="76" t="s">
        <v>64</v>
      </c>
      <c r="O73" s="12">
        <v>217.11</v>
      </c>
      <c r="P73" s="82"/>
      <c r="Q73" s="9" t="s">
        <v>40</v>
      </c>
      <c r="R73" s="9" t="s">
        <v>40</v>
      </c>
      <c r="S73" s="9" t="s">
        <v>40</v>
      </c>
    </row>
    <row r="74" spans="1:19" s="23" customFormat="1" ht="15" x14ac:dyDescent="0.25">
      <c r="A74" s="9"/>
      <c r="B74" s="9" t="s">
        <v>151</v>
      </c>
      <c r="C74" s="9" t="s">
        <v>39</v>
      </c>
      <c r="D74" s="9" t="s">
        <v>40</v>
      </c>
      <c r="E74" s="9" t="s">
        <v>40</v>
      </c>
      <c r="F74" s="9" t="s">
        <v>40</v>
      </c>
      <c r="G74" s="6" t="s">
        <v>385</v>
      </c>
      <c r="H74" s="9"/>
      <c r="I74" s="14">
        <v>4</v>
      </c>
      <c r="J74" s="9"/>
      <c r="K74" s="9" t="s">
        <v>42</v>
      </c>
      <c r="L74" s="10">
        <v>42018</v>
      </c>
      <c r="M74" s="9"/>
      <c r="N74" s="76" t="s">
        <v>64</v>
      </c>
      <c r="O74" s="12">
        <v>387.75</v>
      </c>
      <c r="P74" s="82"/>
      <c r="Q74" s="9" t="s">
        <v>40</v>
      </c>
      <c r="R74" s="9"/>
      <c r="S74" s="9"/>
    </row>
    <row r="75" spans="1:19" s="23" customFormat="1" ht="15" x14ac:dyDescent="0.25">
      <c r="A75" s="9"/>
      <c r="B75" s="9" t="s">
        <v>153</v>
      </c>
      <c r="C75" s="9" t="s">
        <v>39</v>
      </c>
      <c r="D75" s="9" t="s">
        <v>144</v>
      </c>
      <c r="E75" s="9" t="s">
        <v>144</v>
      </c>
      <c r="F75" s="9"/>
      <c r="G75" s="9" t="s">
        <v>386</v>
      </c>
      <c r="H75" s="9"/>
      <c r="I75" s="14">
        <v>3</v>
      </c>
      <c r="J75" s="9"/>
      <c r="K75" s="9" t="s">
        <v>51</v>
      </c>
      <c r="L75" s="10">
        <v>42013</v>
      </c>
      <c r="M75" s="9" t="s">
        <v>40</v>
      </c>
      <c r="N75" s="76" t="s">
        <v>64</v>
      </c>
      <c r="O75" s="12">
        <v>507.45</v>
      </c>
      <c r="P75" s="82"/>
      <c r="Q75" s="9" t="s">
        <v>40</v>
      </c>
      <c r="R75" s="9" t="s">
        <v>40</v>
      </c>
      <c r="S75" s="9" t="s">
        <v>40</v>
      </c>
    </row>
    <row r="76" spans="1:19" s="23" customFormat="1" ht="15" x14ac:dyDescent="0.25">
      <c r="A76" s="9"/>
      <c r="B76" s="9" t="s">
        <v>157</v>
      </c>
      <c r="C76" s="9" t="s">
        <v>39</v>
      </c>
      <c r="D76" s="9"/>
      <c r="E76" s="9" t="s">
        <v>40</v>
      </c>
      <c r="F76" s="9" t="s">
        <v>40</v>
      </c>
      <c r="G76" s="6" t="s">
        <v>375</v>
      </c>
      <c r="H76" s="9"/>
      <c r="I76" s="14">
        <v>3</v>
      </c>
      <c r="J76" s="9"/>
      <c r="K76" s="9" t="s">
        <v>51</v>
      </c>
      <c r="L76" s="10">
        <v>42016</v>
      </c>
      <c r="M76" s="9"/>
      <c r="N76" s="76" t="s">
        <v>64</v>
      </c>
      <c r="O76" s="12">
        <v>512.92999999999995</v>
      </c>
      <c r="P76" s="82"/>
      <c r="Q76" s="9" t="s">
        <v>40</v>
      </c>
      <c r="R76" s="9" t="s">
        <v>40</v>
      </c>
      <c r="S76" s="9" t="s">
        <v>40</v>
      </c>
    </row>
    <row r="77" spans="1:19" s="23" customFormat="1" ht="15" x14ac:dyDescent="0.25">
      <c r="A77" s="9"/>
      <c r="B77" s="9" t="s">
        <v>281</v>
      </c>
      <c r="C77" s="9" t="s">
        <v>58</v>
      </c>
      <c r="D77" s="9" t="s">
        <v>49</v>
      </c>
      <c r="E77" s="9" t="s">
        <v>49</v>
      </c>
      <c r="F77" s="9" t="s">
        <v>49</v>
      </c>
      <c r="G77" s="6" t="s">
        <v>381</v>
      </c>
      <c r="H77" s="9"/>
      <c r="I77" s="14">
        <v>3</v>
      </c>
      <c r="J77" s="9" t="s">
        <v>99</v>
      </c>
      <c r="K77" s="9" t="s">
        <v>42</v>
      </c>
      <c r="L77" s="10"/>
      <c r="M77" s="9"/>
      <c r="N77" s="76" t="s">
        <v>66</v>
      </c>
      <c r="O77" s="12" t="s">
        <v>144</v>
      </c>
      <c r="P77" s="82">
        <v>266.5</v>
      </c>
      <c r="Q77" s="9" t="s">
        <v>40</v>
      </c>
      <c r="R77" s="9" t="s">
        <v>40</v>
      </c>
      <c r="S77" s="9" t="s">
        <v>144</v>
      </c>
    </row>
    <row r="78" spans="1:19" s="23" customFormat="1" ht="15" x14ac:dyDescent="0.25">
      <c r="A78" s="9"/>
      <c r="B78" s="9" t="s">
        <v>158</v>
      </c>
      <c r="C78" s="9" t="s">
        <v>39</v>
      </c>
      <c r="D78" s="9" t="s">
        <v>144</v>
      </c>
      <c r="E78" s="9" t="s">
        <v>144</v>
      </c>
      <c r="F78" s="9"/>
      <c r="G78" s="6" t="s">
        <v>381</v>
      </c>
      <c r="H78" s="9"/>
      <c r="I78" s="14">
        <v>3</v>
      </c>
      <c r="J78" s="21"/>
      <c r="K78" s="9" t="s">
        <v>42</v>
      </c>
      <c r="L78" s="10">
        <v>42136</v>
      </c>
      <c r="M78" s="9" t="s">
        <v>40</v>
      </c>
      <c r="N78" s="77" t="s">
        <v>64</v>
      </c>
      <c r="O78" s="12" t="s">
        <v>144</v>
      </c>
      <c r="P78" s="82"/>
      <c r="Q78" s="9" t="s">
        <v>40</v>
      </c>
      <c r="R78" s="9"/>
      <c r="S78" s="9"/>
    </row>
    <row r="79" spans="1:19" s="23" customFormat="1" ht="15" x14ac:dyDescent="0.25">
      <c r="A79" s="9"/>
      <c r="B79" s="9" t="s">
        <v>159</v>
      </c>
      <c r="C79" s="9" t="s">
        <v>39</v>
      </c>
      <c r="D79" s="9" t="s">
        <v>40</v>
      </c>
      <c r="E79" s="9" t="s">
        <v>40</v>
      </c>
      <c r="F79" s="9" t="s">
        <v>40</v>
      </c>
      <c r="G79" s="9" t="s">
        <v>386</v>
      </c>
      <c r="H79" s="9"/>
      <c r="I79" s="14">
        <v>3</v>
      </c>
      <c r="J79" s="9"/>
      <c r="K79" s="9" t="s">
        <v>63</v>
      </c>
      <c r="L79" s="10">
        <v>42027</v>
      </c>
      <c r="M79" s="9" t="s">
        <v>40</v>
      </c>
      <c r="N79" s="76" t="s">
        <v>64</v>
      </c>
      <c r="O79" s="12">
        <v>769.77</v>
      </c>
      <c r="P79" s="84"/>
      <c r="Q79" s="9" t="s">
        <v>40</v>
      </c>
      <c r="R79" s="9" t="s">
        <v>40</v>
      </c>
      <c r="S79" s="9" t="s">
        <v>40</v>
      </c>
    </row>
    <row r="80" spans="1:19" s="23" customFormat="1" ht="15" x14ac:dyDescent="0.25">
      <c r="A80" s="9"/>
      <c r="B80" s="9" t="s">
        <v>160</v>
      </c>
      <c r="C80" s="9" t="s">
        <v>58</v>
      </c>
      <c r="D80" s="9"/>
      <c r="E80" s="9"/>
      <c r="F80" s="9"/>
      <c r="G80" s="9" t="s">
        <v>31</v>
      </c>
      <c r="H80" s="9"/>
      <c r="I80" s="14">
        <v>3</v>
      </c>
      <c r="J80" s="9"/>
      <c r="K80" s="9" t="s">
        <v>63</v>
      </c>
      <c r="L80" s="10"/>
      <c r="M80" s="9"/>
      <c r="N80" s="76" t="s">
        <v>66</v>
      </c>
      <c r="O80" s="12" t="s">
        <v>144</v>
      </c>
      <c r="P80" s="82">
        <v>273.91000000000003</v>
      </c>
      <c r="Q80" s="9" t="s">
        <v>144</v>
      </c>
      <c r="R80" s="9"/>
      <c r="S80" s="9"/>
    </row>
    <row r="81" spans="1:19" s="23" customFormat="1" ht="15" x14ac:dyDescent="0.25">
      <c r="A81" s="9"/>
      <c r="B81" s="9" t="s">
        <v>161</v>
      </c>
      <c r="C81" s="9" t="s">
        <v>63</v>
      </c>
      <c r="D81" s="9"/>
      <c r="E81" s="9"/>
      <c r="F81" s="9"/>
      <c r="G81" s="9" t="s">
        <v>31</v>
      </c>
      <c r="H81" s="9"/>
      <c r="I81" s="14">
        <v>3</v>
      </c>
      <c r="J81" s="9"/>
      <c r="K81" s="9" t="s">
        <v>63</v>
      </c>
      <c r="L81" s="10"/>
      <c r="M81" s="9"/>
      <c r="N81" s="76" t="s">
        <v>85</v>
      </c>
      <c r="O81" s="12" t="s">
        <v>144</v>
      </c>
      <c r="P81" s="83"/>
      <c r="Q81" s="16" t="s">
        <v>31</v>
      </c>
      <c r="R81" s="16" t="s">
        <v>31</v>
      </c>
      <c r="S81" s="16" t="s">
        <v>31</v>
      </c>
    </row>
    <row r="82" spans="1:19" s="23" customFormat="1" ht="15" x14ac:dyDescent="0.25">
      <c r="A82" s="9"/>
      <c r="B82" s="9" t="s">
        <v>162</v>
      </c>
      <c r="C82" s="9" t="s">
        <v>39</v>
      </c>
      <c r="D82" s="9" t="s">
        <v>40</v>
      </c>
      <c r="E82" s="9" t="s">
        <v>40</v>
      </c>
      <c r="F82" s="9" t="s">
        <v>40</v>
      </c>
      <c r="G82" s="6" t="s">
        <v>381</v>
      </c>
      <c r="H82" s="9"/>
      <c r="I82" s="14">
        <v>3</v>
      </c>
      <c r="J82" s="9"/>
      <c r="K82" s="9" t="s">
        <v>51</v>
      </c>
      <c r="L82" s="20">
        <v>42039</v>
      </c>
      <c r="M82" s="9" t="s">
        <v>40</v>
      </c>
      <c r="N82" s="79" t="s">
        <v>64</v>
      </c>
      <c r="O82" s="12">
        <v>630.53</v>
      </c>
      <c r="P82" s="82"/>
      <c r="Q82" s="9" t="s">
        <v>40</v>
      </c>
      <c r="R82" s="9" t="s">
        <v>40</v>
      </c>
      <c r="S82" s="17" t="s">
        <v>40</v>
      </c>
    </row>
    <row r="83" spans="1:19" s="23" customFormat="1" ht="15" x14ac:dyDescent="0.25">
      <c r="A83" s="9"/>
      <c r="B83" s="9" t="s">
        <v>164</v>
      </c>
      <c r="C83" s="9" t="s">
        <v>39</v>
      </c>
      <c r="D83" s="9" t="s">
        <v>40</v>
      </c>
      <c r="E83" s="9" t="s">
        <v>40</v>
      </c>
      <c r="F83" s="9" t="s">
        <v>40</v>
      </c>
      <c r="G83" s="6" t="s">
        <v>383</v>
      </c>
      <c r="H83" s="9"/>
      <c r="I83" s="14">
        <v>1</v>
      </c>
      <c r="J83" s="9" t="s">
        <v>165</v>
      </c>
      <c r="K83" s="9" t="s">
        <v>51</v>
      </c>
      <c r="L83" s="10">
        <v>42038</v>
      </c>
      <c r="M83" s="9" t="s">
        <v>40</v>
      </c>
      <c r="N83" s="76" t="s">
        <v>64</v>
      </c>
      <c r="O83" s="12">
        <v>802.23</v>
      </c>
      <c r="P83" s="82"/>
      <c r="Q83" s="9" t="s">
        <v>40</v>
      </c>
      <c r="R83" s="9" t="s">
        <v>40</v>
      </c>
      <c r="S83" s="9" t="s">
        <v>40</v>
      </c>
    </row>
    <row r="84" spans="1:19" s="23" customFormat="1" ht="15" x14ac:dyDescent="0.25">
      <c r="A84" s="9"/>
      <c r="B84" s="9" t="s">
        <v>163</v>
      </c>
      <c r="C84" s="9" t="s">
        <v>39</v>
      </c>
      <c r="D84" s="9" t="s">
        <v>40</v>
      </c>
      <c r="E84" s="9" t="s">
        <v>40</v>
      </c>
      <c r="F84" s="9" t="s">
        <v>40</v>
      </c>
      <c r="G84" s="9" t="s">
        <v>380</v>
      </c>
      <c r="H84" s="9"/>
      <c r="I84" s="14">
        <v>3</v>
      </c>
      <c r="J84" s="9"/>
      <c r="K84" s="9" t="s">
        <v>51</v>
      </c>
      <c r="L84" s="10">
        <v>42039</v>
      </c>
      <c r="M84" s="9" t="s">
        <v>40</v>
      </c>
      <c r="N84" s="76" t="s">
        <v>65</v>
      </c>
      <c r="O84" s="12">
        <v>375.99</v>
      </c>
      <c r="P84" s="82"/>
      <c r="Q84" s="9" t="s">
        <v>40</v>
      </c>
      <c r="R84" s="9" t="s">
        <v>40</v>
      </c>
      <c r="S84" s="9" t="s">
        <v>40</v>
      </c>
    </row>
    <row r="85" spans="1:19" s="23" customFormat="1" ht="15" x14ac:dyDescent="0.25">
      <c r="A85" s="9"/>
      <c r="B85" s="9" t="s">
        <v>166</v>
      </c>
      <c r="C85" s="9" t="s">
        <v>39</v>
      </c>
      <c r="D85" s="9" t="s">
        <v>49</v>
      </c>
      <c r="E85" s="9" t="s">
        <v>49</v>
      </c>
      <c r="F85" s="9" t="s">
        <v>49</v>
      </c>
      <c r="G85" s="6" t="s">
        <v>383</v>
      </c>
      <c r="H85" s="9"/>
      <c r="I85" s="14">
        <v>3</v>
      </c>
      <c r="J85" s="9" t="s">
        <v>167</v>
      </c>
      <c r="K85" s="9" t="s">
        <v>63</v>
      </c>
      <c r="L85" s="10">
        <v>42081</v>
      </c>
      <c r="M85" s="9" t="s">
        <v>40</v>
      </c>
      <c r="N85" s="76" t="s">
        <v>64</v>
      </c>
      <c r="O85" s="12">
        <v>1698.47</v>
      </c>
      <c r="P85" s="82"/>
      <c r="Q85" s="9" t="s">
        <v>40</v>
      </c>
      <c r="R85" s="9" t="s">
        <v>40</v>
      </c>
      <c r="S85" s="9" t="s">
        <v>40</v>
      </c>
    </row>
    <row r="86" spans="1:19" s="23" customFormat="1" ht="15" x14ac:dyDescent="0.25">
      <c r="A86" s="9"/>
      <c r="B86" s="9" t="s">
        <v>170</v>
      </c>
      <c r="C86" s="9" t="s">
        <v>39</v>
      </c>
      <c r="D86" s="9" t="s">
        <v>40</v>
      </c>
      <c r="E86" s="9"/>
      <c r="F86" s="9" t="s">
        <v>40</v>
      </c>
      <c r="G86" s="6" t="s">
        <v>379</v>
      </c>
      <c r="H86" s="9" t="s">
        <v>373</v>
      </c>
      <c r="I86" s="14">
        <v>6</v>
      </c>
      <c r="J86" s="9" t="s">
        <v>179</v>
      </c>
      <c r="K86" s="9" t="s">
        <v>63</v>
      </c>
      <c r="L86" s="10">
        <v>42058</v>
      </c>
      <c r="M86" s="9"/>
      <c r="N86" s="76" t="s">
        <v>64</v>
      </c>
      <c r="O86" s="12">
        <v>1536.65</v>
      </c>
      <c r="P86" s="82"/>
      <c r="Q86" s="9" t="s">
        <v>40</v>
      </c>
      <c r="R86" s="9" t="s">
        <v>40</v>
      </c>
      <c r="S86" s="9" t="s">
        <v>40</v>
      </c>
    </row>
    <row r="87" spans="1:19" s="23" customFormat="1" ht="15" x14ac:dyDescent="0.25">
      <c r="A87" s="9"/>
      <c r="B87" s="9" t="s">
        <v>168</v>
      </c>
      <c r="C87" s="9" t="s">
        <v>39</v>
      </c>
      <c r="D87" s="9" t="s">
        <v>40</v>
      </c>
      <c r="E87" s="9" t="s">
        <v>40</v>
      </c>
      <c r="F87" s="9" t="s">
        <v>40</v>
      </c>
      <c r="G87" s="6" t="s">
        <v>381</v>
      </c>
      <c r="H87" s="9"/>
      <c r="I87" s="14">
        <v>3</v>
      </c>
      <c r="J87" s="9"/>
      <c r="K87" s="9" t="s">
        <v>51</v>
      </c>
      <c r="L87" s="10">
        <v>42079</v>
      </c>
      <c r="M87" s="9" t="s">
        <v>40</v>
      </c>
      <c r="N87" s="76" t="s">
        <v>64</v>
      </c>
      <c r="O87" s="12">
        <v>1028.23</v>
      </c>
      <c r="P87" s="82"/>
      <c r="Q87" s="9" t="s">
        <v>40</v>
      </c>
      <c r="R87" s="9" t="s">
        <v>40</v>
      </c>
      <c r="S87" s="9" t="s">
        <v>40</v>
      </c>
    </row>
    <row r="88" spans="1:19" s="23" customFormat="1" ht="15" x14ac:dyDescent="0.25">
      <c r="A88" s="17"/>
      <c r="B88" s="9" t="s">
        <v>169</v>
      </c>
      <c r="C88" s="9" t="s">
        <v>39</v>
      </c>
      <c r="D88" s="9" t="s">
        <v>40</v>
      </c>
      <c r="E88" s="9" t="s">
        <v>40</v>
      </c>
      <c r="F88" s="9" t="s">
        <v>40</v>
      </c>
      <c r="G88" s="6" t="s">
        <v>377</v>
      </c>
      <c r="H88" s="9"/>
      <c r="I88" s="14">
        <v>3</v>
      </c>
      <c r="J88" s="9"/>
      <c r="K88" s="9" t="s">
        <v>63</v>
      </c>
      <c r="L88" s="10">
        <v>42109</v>
      </c>
      <c r="M88" s="9"/>
      <c r="N88" s="76" t="s">
        <v>64</v>
      </c>
      <c r="O88" s="12">
        <v>298.3</v>
      </c>
      <c r="P88" s="82"/>
      <c r="Q88" s="9" t="s">
        <v>51</v>
      </c>
      <c r="R88" s="9" t="s">
        <v>40</v>
      </c>
      <c r="S88" s="9" t="s">
        <v>55</v>
      </c>
    </row>
    <row r="89" spans="1:19" s="23" customFormat="1" ht="15" x14ac:dyDescent="0.25">
      <c r="A89" s="9"/>
      <c r="B89" s="9" t="s">
        <v>171</v>
      </c>
      <c r="C89" s="9" t="s">
        <v>39</v>
      </c>
      <c r="D89" s="9" t="s">
        <v>40</v>
      </c>
      <c r="E89" s="9" t="s">
        <v>40</v>
      </c>
      <c r="F89" s="9" t="s">
        <v>40</v>
      </c>
      <c r="G89" s="6" t="s">
        <v>381</v>
      </c>
      <c r="H89" s="9"/>
      <c r="I89" s="14">
        <v>3</v>
      </c>
      <c r="J89" s="9"/>
      <c r="K89" s="9" t="s">
        <v>63</v>
      </c>
      <c r="L89" s="10"/>
      <c r="M89" s="9"/>
      <c r="N89" s="76" t="s">
        <v>76</v>
      </c>
      <c r="O89" s="12">
        <v>782</v>
      </c>
      <c r="P89" s="82"/>
      <c r="Q89" s="9" t="s">
        <v>40</v>
      </c>
      <c r="R89" s="9" t="s">
        <v>40</v>
      </c>
      <c r="S89" s="9" t="s">
        <v>40</v>
      </c>
    </row>
    <row r="90" spans="1:19" s="23" customFormat="1" ht="15" x14ac:dyDescent="0.25">
      <c r="A90" s="9"/>
      <c r="B90" s="9" t="s">
        <v>174</v>
      </c>
      <c r="C90" s="9" t="s">
        <v>39</v>
      </c>
      <c r="D90" s="9" t="s">
        <v>40</v>
      </c>
      <c r="E90" s="9" t="s">
        <v>40</v>
      </c>
      <c r="F90" s="9" t="s">
        <v>40</v>
      </c>
      <c r="G90" s="6" t="s">
        <v>375</v>
      </c>
      <c r="H90" s="9"/>
      <c r="I90" s="14">
        <v>3</v>
      </c>
      <c r="J90" s="9" t="s">
        <v>172</v>
      </c>
      <c r="K90" s="9" t="s">
        <v>63</v>
      </c>
      <c r="L90" s="10">
        <v>42052</v>
      </c>
      <c r="M90" s="9"/>
      <c r="N90" s="76" t="s">
        <v>65</v>
      </c>
      <c r="O90" s="12">
        <v>606.9</v>
      </c>
      <c r="P90" s="82"/>
      <c r="Q90" s="9" t="s">
        <v>40</v>
      </c>
      <c r="R90" s="9" t="s">
        <v>40</v>
      </c>
      <c r="S90" s="9" t="s">
        <v>40</v>
      </c>
    </row>
    <row r="91" spans="1:19" s="23" customFormat="1" ht="15" x14ac:dyDescent="0.25">
      <c r="A91" s="9"/>
      <c r="B91" s="9" t="s">
        <v>173</v>
      </c>
      <c r="C91" s="9" t="s">
        <v>39</v>
      </c>
      <c r="D91" s="9" t="s">
        <v>49</v>
      </c>
      <c r="E91" s="9" t="s">
        <v>49</v>
      </c>
      <c r="F91" s="9" t="s">
        <v>49</v>
      </c>
      <c r="G91" s="6" t="s">
        <v>377</v>
      </c>
      <c r="H91" s="9"/>
      <c r="I91" s="14">
        <v>3</v>
      </c>
      <c r="J91" s="9" t="s">
        <v>61</v>
      </c>
      <c r="K91" s="9" t="s">
        <v>63</v>
      </c>
      <c r="L91" s="10">
        <v>42048</v>
      </c>
      <c r="M91" s="9"/>
      <c r="N91" s="76" t="s">
        <v>64</v>
      </c>
      <c r="O91" s="12">
        <v>496.09</v>
      </c>
      <c r="P91" s="82"/>
      <c r="Q91" s="9" t="s">
        <v>51</v>
      </c>
      <c r="R91" s="9" t="s">
        <v>40</v>
      </c>
      <c r="S91" s="9" t="s">
        <v>40</v>
      </c>
    </row>
    <row r="92" spans="1:19" s="23" customFormat="1" ht="15" x14ac:dyDescent="0.25">
      <c r="A92" s="9"/>
      <c r="B92" s="9" t="s">
        <v>175</v>
      </c>
      <c r="C92" s="9" t="s">
        <v>39</v>
      </c>
      <c r="D92" s="9" t="s">
        <v>40</v>
      </c>
      <c r="E92" s="9" t="s">
        <v>40</v>
      </c>
      <c r="F92" s="9" t="s">
        <v>40</v>
      </c>
      <c r="G92" s="9" t="s">
        <v>368</v>
      </c>
      <c r="H92" s="9"/>
      <c r="I92" s="14">
        <v>3</v>
      </c>
      <c r="J92" s="9" t="s">
        <v>176</v>
      </c>
      <c r="K92" s="9" t="s">
        <v>51</v>
      </c>
      <c r="L92" s="10">
        <v>42061</v>
      </c>
      <c r="M92" s="9"/>
      <c r="N92" s="76" t="s">
        <v>76</v>
      </c>
      <c r="O92" s="12">
        <v>558.08000000000004</v>
      </c>
      <c r="P92" s="82"/>
      <c r="Q92" s="9" t="s">
        <v>40</v>
      </c>
      <c r="R92" s="9" t="s">
        <v>40</v>
      </c>
      <c r="S92" s="9" t="s">
        <v>40</v>
      </c>
    </row>
    <row r="93" spans="1:19" s="23" customFormat="1" ht="15" x14ac:dyDescent="0.25">
      <c r="A93" s="9"/>
      <c r="B93" s="9" t="s">
        <v>177</v>
      </c>
      <c r="C93" s="9" t="s">
        <v>39</v>
      </c>
      <c r="D93" s="9" t="s">
        <v>40</v>
      </c>
      <c r="E93" s="9" t="s">
        <v>40</v>
      </c>
      <c r="F93" s="9" t="s">
        <v>40</v>
      </c>
      <c r="G93" s="6" t="s">
        <v>375</v>
      </c>
      <c r="H93" s="9"/>
      <c r="I93" s="14">
        <v>3</v>
      </c>
      <c r="J93" s="9"/>
      <c r="K93" s="9" t="s">
        <v>63</v>
      </c>
      <c r="L93" s="10" t="s">
        <v>185</v>
      </c>
      <c r="M93" s="9" t="s">
        <v>40</v>
      </c>
      <c r="N93" s="76" t="s">
        <v>64</v>
      </c>
      <c r="O93" s="12">
        <v>826.4</v>
      </c>
      <c r="P93" s="82"/>
      <c r="Q93" s="9" t="s">
        <v>40</v>
      </c>
      <c r="R93" s="9" t="s">
        <v>40</v>
      </c>
      <c r="S93" s="9" t="s">
        <v>40</v>
      </c>
    </row>
    <row r="94" spans="1:19" s="23" customFormat="1" ht="15" x14ac:dyDescent="0.25">
      <c r="A94" s="9"/>
      <c r="B94" s="9" t="s">
        <v>178</v>
      </c>
      <c r="C94" s="9" t="s">
        <v>39</v>
      </c>
      <c r="D94" s="9" t="s">
        <v>40</v>
      </c>
      <c r="E94" s="9" t="s">
        <v>40</v>
      </c>
      <c r="F94" s="9" t="s">
        <v>40</v>
      </c>
      <c r="G94" s="6" t="s">
        <v>381</v>
      </c>
      <c r="H94" s="9"/>
      <c r="I94" s="14">
        <v>3</v>
      </c>
      <c r="J94" s="9" t="s">
        <v>180</v>
      </c>
      <c r="K94" s="9" t="s">
        <v>42</v>
      </c>
      <c r="L94" s="10">
        <v>42081</v>
      </c>
      <c r="M94" s="9" t="s">
        <v>40</v>
      </c>
      <c r="N94" s="76" t="s">
        <v>64</v>
      </c>
      <c r="O94" s="12">
        <v>748.5</v>
      </c>
      <c r="P94" s="82"/>
      <c r="Q94" s="9" t="s">
        <v>51</v>
      </c>
      <c r="R94" s="9" t="s">
        <v>40</v>
      </c>
      <c r="S94" s="9" t="s">
        <v>40</v>
      </c>
    </row>
    <row r="95" spans="1:19" s="23" customFormat="1" ht="15" x14ac:dyDescent="0.25">
      <c r="A95" s="9"/>
      <c r="B95" s="9" t="s">
        <v>181</v>
      </c>
      <c r="C95" s="9" t="s">
        <v>39</v>
      </c>
      <c r="D95" s="9" t="s">
        <v>49</v>
      </c>
      <c r="E95" s="9" t="s">
        <v>49</v>
      </c>
      <c r="F95" s="9" t="s">
        <v>49</v>
      </c>
      <c r="G95" s="6" t="s">
        <v>369</v>
      </c>
      <c r="H95" s="9"/>
      <c r="I95" s="14">
        <v>1</v>
      </c>
      <c r="J95" s="9" t="s">
        <v>41</v>
      </c>
      <c r="K95" s="9" t="s">
        <v>51</v>
      </c>
      <c r="L95" s="10"/>
      <c r="M95" s="9"/>
      <c r="N95" s="76" t="s">
        <v>64</v>
      </c>
      <c r="O95" s="12">
        <v>491.72</v>
      </c>
      <c r="P95" s="82"/>
      <c r="Q95" s="9" t="s">
        <v>40</v>
      </c>
      <c r="R95" s="9" t="s">
        <v>40</v>
      </c>
      <c r="S95" s="9" t="s">
        <v>40</v>
      </c>
    </row>
    <row r="96" spans="1:19" s="23" customFormat="1" ht="15" x14ac:dyDescent="0.25">
      <c r="A96" s="9"/>
      <c r="B96" s="9" t="s">
        <v>182</v>
      </c>
      <c r="C96" s="9" t="s">
        <v>39</v>
      </c>
      <c r="D96" s="9" t="s">
        <v>49</v>
      </c>
      <c r="E96" s="9" t="s">
        <v>49</v>
      </c>
      <c r="F96" s="9" t="s">
        <v>49</v>
      </c>
      <c r="G96" s="9" t="s">
        <v>376</v>
      </c>
      <c r="H96" s="9"/>
      <c r="I96" s="14">
        <v>6</v>
      </c>
      <c r="J96" s="9" t="s">
        <v>187</v>
      </c>
      <c r="K96" s="9" t="s">
        <v>42</v>
      </c>
      <c r="L96" s="10">
        <v>42053</v>
      </c>
      <c r="M96" s="9"/>
      <c r="N96" s="76" t="s">
        <v>64</v>
      </c>
      <c r="O96" s="12">
        <v>211.25</v>
      </c>
      <c r="P96" s="82"/>
      <c r="Q96" s="9" t="s">
        <v>40</v>
      </c>
      <c r="R96" s="9" t="s">
        <v>146</v>
      </c>
      <c r="S96" s="9" t="s">
        <v>40</v>
      </c>
    </row>
    <row r="97" spans="1:19" s="23" customFormat="1" ht="15" x14ac:dyDescent="0.25">
      <c r="A97" s="9"/>
      <c r="B97" s="9" t="s">
        <v>184</v>
      </c>
      <c r="C97" s="9" t="s">
        <v>39</v>
      </c>
      <c r="D97" s="9" t="s">
        <v>40</v>
      </c>
      <c r="E97" s="9" t="s">
        <v>40</v>
      </c>
      <c r="F97" s="9" t="s">
        <v>40</v>
      </c>
      <c r="G97" s="6" t="s">
        <v>379</v>
      </c>
      <c r="H97" s="9"/>
      <c r="I97" s="14">
        <v>6</v>
      </c>
      <c r="J97" s="9"/>
      <c r="K97" s="9" t="s">
        <v>51</v>
      </c>
      <c r="L97" s="10"/>
      <c r="M97" s="9"/>
      <c r="N97" s="76" t="s">
        <v>64</v>
      </c>
      <c r="O97" s="12">
        <v>573.87</v>
      </c>
      <c r="P97" s="82"/>
      <c r="Q97" s="9" t="s">
        <v>40</v>
      </c>
      <c r="R97" s="9" t="s">
        <v>40</v>
      </c>
      <c r="S97" s="9" t="s">
        <v>40</v>
      </c>
    </row>
    <row r="98" spans="1:19" s="23" customFormat="1" ht="15" x14ac:dyDescent="0.25">
      <c r="A98" s="9"/>
      <c r="B98" s="9" t="s">
        <v>183</v>
      </c>
      <c r="C98" s="9" t="s">
        <v>39</v>
      </c>
      <c r="D98" s="9" t="s">
        <v>40</v>
      </c>
      <c r="E98" s="9" t="s">
        <v>40</v>
      </c>
      <c r="F98" s="9" t="s">
        <v>40</v>
      </c>
      <c r="G98" s="9" t="s">
        <v>386</v>
      </c>
      <c r="H98" s="9"/>
      <c r="I98" s="14">
        <v>3</v>
      </c>
      <c r="J98" s="9"/>
      <c r="K98" s="9" t="s">
        <v>51</v>
      </c>
      <c r="L98" s="10"/>
      <c r="M98" s="9"/>
      <c r="N98" s="76" t="s">
        <v>64</v>
      </c>
      <c r="O98" s="12">
        <v>415.81</v>
      </c>
      <c r="P98" s="82"/>
      <c r="Q98" s="9" t="s">
        <v>40</v>
      </c>
      <c r="R98" s="9" t="s">
        <v>40</v>
      </c>
      <c r="S98" s="9" t="s">
        <v>40</v>
      </c>
    </row>
    <row r="99" spans="1:19" s="23" customFormat="1" ht="15" x14ac:dyDescent="0.25">
      <c r="A99" s="9"/>
      <c r="B99" s="9" t="s">
        <v>186</v>
      </c>
      <c r="C99" s="9" t="s">
        <v>39</v>
      </c>
      <c r="D99" s="9" t="s">
        <v>49</v>
      </c>
      <c r="E99" s="9" t="s">
        <v>49</v>
      </c>
      <c r="F99" s="9" t="s">
        <v>49</v>
      </c>
      <c r="G99" s="6" t="s">
        <v>381</v>
      </c>
      <c r="H99" s="9"/>
      <c r="I99" s="14">
        <v>1</v>
      </c>
      <c r="J99" s="9" t="s">
        <v>188</v>
      </c>
      <c r="K99" s="9" t="s">
        <v>51</v>
      </c>
      <c r="L99" s="10">
        <v>42067</v>
      </c>
      <c r="M99" s="9"/>
      <c r="N99" s="76" t="s">
        <v>64</v>
      </c>
      <c r="O99" s="12">
        <v>1204.23</v>
      </c>
      <c r="P99" s="82"/>
      <c r="Q99" s="9" t="s">
        <v>40</v>
      </c>
      <c r="R99" s="9" t="s">
        <v>40</v>
      </c>
      <c r="S99" s="9" t="s">
        <v>55</v>
      </c>
    </row>
    <row r="100" spans="1:19" s="23" customFormat="1" ht="15" x14ac:dyDescent="0.25">
      <c r="A100" s="9"/>
      <c r="B100" s="9" t="s">
        <v>189</v>
      </c>
      <c r="C100" s="9" t="s">
        <v>39</v>
      </c>
      <c r="D100" s="9"/>
      <c r="E100" s="9"/>
      <c r="F100" s="9"/>
      <c r="G100" s="9" t="s">
        <v>373</v>
      </c>
      <c r="H100" s="9"/>
      <c r="I100" s="14">
        <v>5</v>
      </c>
      <c r="J100" s="9" t="s">
        <v>190</v>
      </c>
      <c r="K100" s="9" t="s">
        <v>51</v>
      </c>
      <c r="L100" s="10">
        <v>42069</v>
      </c>
      <c r="M100" s="9"/>
      <c r="N100" s="76" t="s">
        <v>64</v>
      </c>
      <c r="O100" s="12">
        <v>897.6</v>
      </c>
      <c r="P100" s="82"/>
      <c r="Q100" s="9" t="s">
        <v>40</v>
      </c>
      <c r="R100" s="9" t="s">
        <v>49</v>
      </c>
      <c r="S100" s="9" t="s">
        <v>40</v>
      </c>
    </row>
    <row r="101" spans="1:19" s="23" customFormat="1" ht="15" x14ac:dyDescent="0.25">
      <c r="A101" s="9"/>
      <c r="B101" s="9" t="s">
        <v>191</v>
      </c>
      <c r="C101" s="9" t="s">
        <v>39</v>
      </c>
      <c r="D101" s="9" t="s">
        <v>144</v>
      </c>
      <c r="E101" s="9" t="s">
        <v>40</v>
      </c>
      <c r="F101" s="9" t="s">
        <v>192</v>
      </c>
      <c r="G101" s="6" t="s">
        <v>374</v>
      </c>
      <c r="H101" s="9"/>
      <c r="I101" s="14">
        <v>1</v>
      </c>
      <c r="J101" s="9"/>
      <c r="K101" s="9" t="s">
        <v>63</v>
      </c>
      <c r="L101" s="10"/>
      <c r="M101" s="9"/>
      <c r="N101" s="76" t="s">
        <v>64</v>
      </c>
      <c r="O101" s="12">
        <v>1113.43</v>
      </c>
      <c r="P101" s="82"/>
      <c r="Q101" s="9" t="s">
        <v>40</v>
      </c>
      <c r="R101" s="9" t="s">
        <v>146</v>
      </c>
      <c r="S101" s="9" t="s">
        <v>146</v>
      </c>
    </row>
    <row r="102" spans="1:19" s="23" customFormat="1" ht="15" x14ac:dyDescent="0.25">
      <c r="A102" s="9"/>
      <c r="B102" s="9" t="s">
        <v>193</v>
      </c>
      <c r="C102" s="9" t="s">
        <v>39</v>
      </c>
      <c r="D102" s="9" t="s">
        <v>40</v>
      </c>
      <c r="E102" s="9" t="s">
        <v>40</v>
      </c>
      <c r="F102" s="9" t="s">
        <v>40</v>
      </c>
      <c r="G102" s="6" t="s">
        <v>381</v>
      </c>
      <c r="H102" s="9"/>
      <c r="I102" s="14">
        <v>3</v>
      </c>
      <c r="J102" s="9"/>
      <c r="K102" s="9" t="s">
        <v>51</v>
      </c>
      <c r="L102" s="10" t="s">
        <v>241</v>
      </c>
      <c r="M102" s="9" t="s">
        <v>40</v>
      </c>
      <c r="N102" s="76" t="s">
        <v>64</v>
      </c>
      <c r="O102" s="12">
        <v>1302.78</v>
      </c>
      <c r="P102" s="82"/>
      <c r="Q102" s="9" t="s">
        <v>40</v>
      </c>
      <c r="R102" s="9" t="s">
        <v>40</v>
      </c>
      <c r="S102" s="9" t="s">
        <v>40</v>
      </c>
    </row>
    <row r="103" spans="1:19" s="23" customFormat="1" ht="15" x14ac:dyDescent="0.25">
      <c r="A103" s="9"/>
      <c r="B103" s="9" t="s">
        <v>194</v>
      </c>
      <c r="C103" s="9" t="s">
        <v>39</v>
      </c>
      <c r="D103" s="9" t="s">
        <v>40</v>
      </c>
      <c r="E103" s="9" t="s">
        <v>40</v>
      </c>
      <c r="F103" s="9" t="s">
        <v>40</v>
      </c>
      <c r="G103" s="6" t="s">
        <v>375</v>
      </c>
      <c r="H103" s="9"/>
      <c r="I103" s="14">
        <v>3</v>
      </c>
      <c r="J103" s="9"/>
      <c r="K103" s="9" t="s">
        <v>63</v>
      </c>
      <c r="L103" s="10">
        <v>42130</v>
      </c>
      <c r="M103" s="9"/>
      <c r="N103" s="76" t="s">
        <v>64</v>
      </c>
      <c r="O103" s="12">
        <v>661.93</v>
      </c>
      <c r="P103" s="82"/>
      <c r="Q103" s="9" t="s">
        <v>40</v>
      </c>
      <c r="R103" s="9" t="s">
        <v>40</v>
      </c>
      <c r="S103" s="9" t="s">
        <v>40</v>
      </c>
    </row>
    <row r="104" spans="1:19" s="23" customFormat="1" ht="15" x14ac:dyDescent="0.25">
      <c r="A104" s="9"/>
      <c r="B104" s="9" t="s">
        <v>195</v>
      </c>
      <c r="C104" s="9" t="s">
        <v>39</v>
      </c>
      <c r="D104" s="9" t="s">
        <v>49</v>
      </c>
      <c r="E104" s="9" t="s">
        <v>40</v>
      </c>
      <c r="F104" s="9" t="s">
        <v>40</v>
      </c>
      <c r="G104" s="9" t="s">
        <v>380</v>
      </c>
      <c r="H104" s="9"/>
      <c r="I104" s="14">
        <v>3</v>
      </c>
      <c r="J104" s="9"/>
      <c r="K104" s="9" t="s">
        <v>51</v>
      </c>
      <c r="L104" s="10"/>
      <c r="M104" s="9"/>
      <c r="N104" s="76" t="s">
        <v>64</v>
      </c>
      <c r="O104" s="12">
        <v>264.55</v>
      </c>
      <c r="P104" s="82"/>
      <c r="Q104" s="9" t="s">
        <v>40</v>
      </c>
      <c r="R104" s="9"/>
      <c r="S104" s="9"/>
    </row>
    <row r="105" spans="1:19" s="23" customFormat="1" ht="15" x14ac:dyDescent="0.25">
      <c r="A105" s="9"/>
      <c r="B105" s="9" t="s">
        <v>196</v>
      </c>
      <c r="C105" s="9" t="s">
        <v>58</v>
      </c>
      <c r="D105" s="9" t="s">
        <v>40</v>
      </c>
      <c r="E105" s="9" t="s">
        <v>40</v>
      </c>
      <c r="F105" s="9" t="s">
        <v>40</v>
      </c>
      <c r="G105" s="6" t="s">
        <v>375</v>
      </c>
      <c r="H105" s="9"/>
      <c r="I105" s="14">
        <v>3</v>
      </c>
      <c r="J105" s="9"/>
      <c r="K105" s="9" t="s">
        <v>51</v>
      </c>
      <c r="L105" s="10">
        <v>42109</v>
      </c>
      <c r="M105" s="9" t="s">
        <v>40</v>
      </c>
      <c r="N105" s="76" t="s">
        <v>66</v>
      </c>
      <c r="O105" s="12" t="s">
        <v>144</v>
      </c>
      <c r="P105" s="82">
        <v>461.5</v>
      </c>
      <c r="Q105" s="9" t="s">
        <v>40</v>
      </c>
      <c r="R105" s="9"/>
      <c r="S105" s="9"/>
    </row>
    <row r="106" spans="1:19" s="23" customFormat="1" ht="15" x14ac:dyDescent="0.25">
      <c r="A106" s="9"/>
      <c r="B106" s="9" t="s">
        <v>197</v>
      </c>
      <c r="C106" s="9" t="s">
        <v>39</v>
      </c>
      <c r="D106" s="9" t="s">
        <v>49</v>
      </c>
      <c r="E106" s="9" t="s">
        <v>49</v>
      </c>
      <c r="F106" s="9" t="s">
        <v>49</v>
      </c>
      <c r="G106" s="6" t="s">
        <v>381</v>
      </c>
      <c r="H106" s="9"/>
      <c r="I106" s="14">
        <v>3</v>
      </c>
      <c r="J106" s="9" t="s">
        <v>99</v>
      </c>
      <c r="K106" s="9" t="s">
        <v>51</v>
      </c>
      <c r="L106" s="10">
        <v>42135</v>
      </c>
      <c r="M106" s="9"/>
      <c r="N106" s="76" t="s">
        <v>64</v>
      </c>
      <c r="O106" s="12">
        <v>1409.97</v>
      </c>
      <c r="P106" s="82"/>
      <c r="Q106" s="9" t="s">
        <v>40</v>
      </c>
      <c r="R106" s="9" t="s">
        <v>40</v>
      </c>
      <c r="S106" s="9" t="s">
        <v>55</v>
      </c>
    </row>
    <row r="107" spans="1:19" s="23" customFormat="1" ht="15" x14ac:dyDescent="0.25">
      <c r="A107" s="9"/>
      <c r="B107" s="9" t="s">
        <v>198</v>
      </c>
      <c r="C107" s="9" t="s">
        <v>39</v>
      </c>
      <c r="D107" s="9" t="s">
        <v>49</v>
      </c>
      <c r="E107" s="9" t="s">
        <v>49</v>
      </c>
      <c r="F107" s="9" t="s">
        <v>49</v>
      </c>
      <c r="G107" s="9" t="s">
        <v>368</v>
      </c>
      <c r="H107" s="9"/>
      <c r="I107" s="14">
        <v>3</v>
      </c>
      <c r="J107" s="9" t="s">
        <v>99</v>
      </c>
      <c r="K107" s="9" t="s">
        <v>51</v>
      </c>
      <c r="L107" s="10">
        <v>42066</v>
      </c>
      <c r="M107" s="9"/>
      <c r="N107" s="76" t="s">
        <v>64</v>
      </c>
      <c r="O107" s="12">
        <v>936.02</v>
      </c>
      <c r="P107" s="82"/>
      <c r="Q107" s="9" t="s">
        <v>40</v>
      </c>
      <c r="R107" s="9" t="s">
        <v>40</v>
      </c>
      <c r="S107" s="9" t="s">
        <v>40</v>
      </c>
    </row>
    <row r="108" spans="1:19" s="23" customFormat="1" ht="15" x14ac:dyDescent="0.25">
      <c r="A108" s="9"/>
      <c r="B108" s="9" t="s">
        <v>199</v>
      </c>
      <c r="C108" s="9" t="s">
        <v>39</v>
      </c>
      <c r="D108" s="9" t="s">
        <v>40</v>
      </c>
      <c r="E108" s="9" t="s">
        <v>40</v>
      </c>
      <c r="F108" s="9" t="s">
        <v>40</v>
      </c>
      <c r="G108" s="6" t="s">
        <v>377</v>
      </c>
      <c r="H108" s="9"/>
      <c r="I108" s="14">
        <v>3</v>
      </c>
      <c r="J108" s="9"/>
      <c r="K108" s="9" t="s">
        <v>63</v>
      </c>
      <c r="L108" s="10">
        <v>42065</v>
      </c>
      <c r="M108" s="9" t="s">
        <v>40</v>
      </c>
      <c r="N108" s="76" t="s">
        <v>64</v>
      </c>
      <c r="O108" s="12">
        <v>537.5</v>
      </c>
      <c r="P108" s="82"/>
      <c r="Q108" s="9" t="s">
        <v>51</v>
      </c>
      <c r="R108" s="9" t="s">
        <v>40</v>
      </c>
      <c r="S108" s="9" t="s">
        <v>55</v>
      </c>
    </row>
    <row r="109" spans="1:19" s="23" customFormat="1" ht="15.75" x14ac:dyDescent="0.25">
      <c r="A109" s="9"/>
      <c r="B109" s="9" t="s">
        <v>200</v>
      </c>
      <c r="C109" s="9" t="s">
        <v>39</v>
      </c>
      <c r="D109" s="9" t="s">
        <v>40</v>
      </c>
      <c r="E109" s="9" t="s">
        <v>40</v>
      </c>
      <c r="F109" s="9" t="s">
        <v>40</v>
      </c>
      <c r="G109" s="6" t="s">
        <v>383</v>
      </c>
      <c r="H109" s="9" t="s">
        <v>384</v>
      </c>
      <c r="I109" s="14">
        <v>3</v>
      </c>
      <c r="J109" s="9" t="s">
        <v>201</v>
      </c>
      <c r="K109" s="9" t="s">
        <v>63</v>
      </c>
      <c r="L109" s="10">
        <v>42145</v>
      </c>
      <c r="M109" s="9" t="s">
        <v>40</v>
      </c>
      <c r="N109" s="76" t="s">
        <v>65</v>
      </c>
      <c r="O109" s="12">
        <v>3014.76</v>
      </c>
      <c r="P109" s="85"/>
      <c r="Q109" s="9" t="s">
        <v>40</v>
      </c>
      <c r="R109" s="9" t="s">
        <v>40</v>
      </c>
      <c r="S109" s="9" t="s">
        <v>215</v>
      </c>
    </row>
    <row r="110" spans="1:19" s="23" customFormat="1" ht="15" x14ac:dyDescent="0.25">
      <c r="A110" s="9"/>
      <c r="B110" s="9" t="s">
        <v>202</v>
      </c>
      <c r="C110" s="9" t="s">
        <v>39</v>
      </c>
      <c r="D110" s="9" t="s">
        <v>49</v>
      </c>
      <c r="E110" s="9" t="s">
        <v>49</v>
      </c>
      <c r="F110" s="9" t="s">
        <v>49</v>
      </c>
      <c r="G110" s="6" t="s">
        <v>375</v>
      </c>
      <c r="H110" s="9" t="s">
        <v>382</v>
      </c>
      <c r="I110" s="14">
        <v>3</v>
      </c>
      <c r="J110" s="9" t="s">
        <v>41</v>
      </c>
      <c r="K110" s="9" t="s">
        <v>51</v>
      </c>
      <c r="L110" s="10">
        <v>42116</v>
      </c>
      <c r="M110" s="9" t="s">
        <v>40</v>
      </c>
      <c r="N110" s="76" t="s">
        <v>64</v>
      </c>
      <c r="O110" s="12">
        <v>641.19000000000005</v>
      </c>
      <c r="P110" s="82"/>
      <c r="Q110" s="9" t="s">
        <v>40</v>
      </c>
      <c r="R110" s="9" t="s">
        <v>40</v>
      </c>
      <c r="S110" s="9" t="s">
        <v>40</v>
      </c>
    </row>
    <row r="111" spans="1:19" s="23" customFormat="1" ht="15" x14ac:dyDescent="0.25">
      <c r="A111" s="9"/>
      <c r="B111" s="9" t="s">
        <v>205</v>
      </c>
      <c r="C111" s="9" t="s">
        <v>58</v>
      </c>
      <c r="D111" s="9" t="s">
        <v>49</v>
      </c>
      <c r="E111" s="9" t="s">
        <v>49</v>
      </c>
      <c r="F111" s="9" t="s">
        <v>49</v>
      </c>
      <c r="G111" s="9" t="s">
        <v>31</v>
      </c>
      <c r="H111" s="9"/>
      <c r="I111" s="14">
        <v>3</v>
      </c>
      <c r="J111" s="9" t="s">
        <v>99</v>
      </c>
      <c r="K111" s="9" t="s">
        <v>51</v>
      </c>
      <c r="L111" s="10"/>
      <c r="M111" s="9"/>
      <c r="N111" s="76" t="s">
        <v>112</v>
      </c>
      <c r="O111" s="12" t="s">
        <v>144</v>
      </c>
      <c r="P111" s="82">
        <v>370.5</v>
      </c>
      <c r="Q111" s="9" t="s">
        <v>40</v>
      </c>
      <c r="R111" s="9" t="s">
        <v>144</v>
      </c>
      <c r="S111" s="9" t="s">
        <v>144</v>
      </c>
    </row>
    <row r="112" spans="1:19" s="23" customFormat="1" ht="15" x14ac:dyDescent="0.25">
      <c r="A112" s="9"/>
      <c r="B112" s="9" t="s">
        <v>203</v>
      </c>
      <c r="C112" s="9" t="s">
        <v>39</v>
      </c>
      <c r="D112" s="9" t="s">
        <v>40</v>
      </c>
      <c r="E112" s="9" t="s">
        <v>40</v>
      </c>
      <c r="F112" s="9" t="s">
        <v>40</v>
      </c>
      <c r="G112" s="6" t="s">
        <v>381</v>
      </c>
      <c r="H112" s="9"/>
      <c r="I112" s="14">
        <v>3</v>
      </c>
      <c r="J112" s="9" t="s">
        <v>204</v>
      </c>
      <c r="K112" s="9" t="s">
        <v>63</v>
      </c>
      <c r="L112" s="10">
        <v>42074</v>
      </c>
      <c r="M112" s="9" t="s">
        <v>40</v>
      </c>
      <c r="N112" s="76" t="s">
        <v>64</v>
      </c>
      <c r="O112" s="12">
        <v>640.62</v>
      </c>
      <c r="P112" s="82"/>
      <c r="Q112" s="9" t="s">
        <v>40</v>
      </c>
      <c r="R112" s="9" t="s">
        <v>40</v>
      </c>
      <c r="S112" s="9" t="s">
        <v>40</v>
      </c>
    </row>
    <row r="113" spans="1:19" s="23" customFormat="1" ht="15" x14ac:dyDescent="0.25">
      <c r="A113" s="9"/>
      <c r="B113" s="9" t="s">
        <v>206</v>
      </c>
      <c r="C113" s="9" t="s">
        <v>63</v>
      </c>
      <c r="D113" s="9"/>
      <c r="E113" s="9"/>
      <c r="F113" s="9"/>
      <c r="G113" s="9" t="s">
        <v>31</v>
      </c>
      <c r="H113" s="9"/>
      <c r="I113" s="14">
        <v>3</v>
      </c>
      <c r="J113" s="9"/>
      <c r="K113" s="9" t="s">
        <v>63</v>
      </c>
      <c r="L113" s="10"/>
      <c r="M113" s="9"/>
      <c r="N113" s="76" t="s">
        <v>142</v>
      </c>
      <c r="O113" s="12" t="s">
        <v>144</v>
      </c>
      <c r="P113" s="83"/>
      <c r="Q113" s="16" t="s">
        <v>31</v>
      </c>
      <c r="R113" s="16" t="s">
        <v>31</v>
      </c>
      <c r="S113" s="16" t="s">
        <v>31</v>
      </c>
    </row>
    <row r="114" spans="1:19" s="23" customFormat="1" ht="15" x14ac:dyDescent="0.25">
      <c r="A114" s="9"/>
      <c r="B114" s="9" t="s">
        <v>209</v>
      </c>
      <c r="C114" s="9" t="s">
        <v>39</v>
      </c>
      <c r="D114" s="9" t="s">
        <v>40</v>
      </c>
      <c r="E114" s="9" t="s">
        <v>40</v>
      </c>
      <c r="F114" s="9" t="s">
        <v>40</v>
      </c>
      <c r="G114" s="6" t="s">
        <v>379</v>
      </c>
      <c r="H114" s="9" t="s">
        <v>387</v>
      </c>
      <c r="I114" s="14">
        <v>5</v>
      </c>
      <c r="J114" s="9" t="s">
        <v>207</v>
      </c>
      <c r="K114" s="9" t="s">
        <v>51</v>
      </c>
      <c r="L114" s="10"/>
      <c r="M114" s="9"/>
      <c r="N114" s="76" t="s">
        <v>64</v>
      </c>
      <c r="O114" s="12">
        <v>1596.63</v>
      </c>
      <c r="P114" s="82"/>
      <c r="Q114" s="9" t="s">
        <v>40</v>
      </c>
      <c r="R114" s="9" t="s">
        <v>40</v>
      </c>
      <c r="S114" s="9" t="s">
        <v>55</v>
      </c>
    </row>
    <row r="115" spans="1:19" s="23" customFormat="1" ht="15" x14ac:dyDescent="0.25">
      <c r="A115" s="9"/>
      <c r="B115" s="9" t="s">
        <v>208</v>
      </c>
      <c r="C115" s="9" t="s">
        <v>58</v>
      </c>
      <c r="D115" s="9"/>
      <c r="E115" s="9"/>
      <c r="F115" s="9"/>
      <c r="G115" s="9" t="s">
        <v>31</v>
      </c>
      <c r="H115" s="9"/>
      <c r="I115" s="14">
        <v>3</v>
      </c>
      <c r="J115" s="9"/>
      <c r="K115" s="9" t="s">
        <v>51</v>
      </c>
      <c r="L115" s="10"/>
      <c r="M115" s="9"/>
      <c r="N115" s="76" t="s">
        <v>112</v>
      </c>
      <c r="O115" s="12" t="s">
        <v>144</v>
      </c>
      <c r="P115" s="83"/>
      <c r="Q115" s="16" t="s">
        <v>31</v>
      </c>
      <c r="R115" s="16" t="s">
        <v>31</v>
      </c>
      <c r="S115" s="16" t="s">
        <v>31</v>
      </c>
    </row>
    <row r="116" spans="1:19" s="23" customFormat="1" ht="15" x14ac:dyDescent="0.25">
      <c r="A116" s="9"/>
      <c r="B116" s="9" t="s">
        <v>210</v>
      </c>
      <c r="C116" s="9" t="s">
        <v>39</v>
      </c>
      <c r="D116" s="9" t="s">
        <v>40</v>
      </c>
      <c r="E116" s="9" t="s">
        <v>40</v>
      </c>
      <c r="F116" s="9" t="s">
        <v>40</v>
      </c>
      <c r="G116" s="9" t="s">
        <v>386</v>
      </c>
      <c r="H116" s="9"/>
      <c r="I116" s="14">
        <v>3</v>
      </c>
      <c r="J116" s="9"/>
      <c r="K116" s="9" t="s">
        <v>63</v>
      </c>
      <c r="L116" s="10">
        <v>42102</v>
      </c>
      <c r="M116" s="9"/>
      <c r="N116" s="76" t="s">
        <v>64</v>
      </c>
      <c r="O116" s="12">
        <v>373.19</v>
      </c>
      <c r="P116" s="82"/>
      <c r="Q116" s="9" t="s">
        <v>40</v>
      </c>
      <c r="R116" s="9" t="s">
        <v>40</v>
      </c>
      <c r="S116" s="9" t="s">
        <v>55</v>
      </c>
    </row>
    <row r="117" spans="1:19" s="23" customFormat="1" ht="15" x14ac:dyDescent="0.25">
      <c r="A117" s="9"/>
      <c r="B117" s="17" t="s">
        <v>212</v>
      </c>
      <c r="C117" s="9" t="s">
        <v>39</v>
      </c>
      <c r="D117" s="9" t="s">
        <v>40</v>
      </c>
      <c r="E117" s="9" t="s">
        <v>40</v>
      </c>
      <c r="F117" s="9" t="s">
        <v>40</v>
      </c>
      <c r="G117" s="6" t="s">
        <v>377</v>
      </c>
      <c r="H117" s="9"/>
      <c r="I117" s="14">
        <v>3</v>
      </c>
      <c r="J117" s="9"/>
      <c r="K117" s="9" t="s">
        <v>63</v>
      </c>
      <c r="L117" s="10">
        <v>42093</v>
      </c>
      <c r="M117" s="9"/>
      <c r="N117" s="76" t="s">
        <v>64</v>
      </c>
      <c r="O117" s="12">
        <v>331.9</v>
      </c>
      <c r="P117" s="82"/>
      <c r="Q117" s="9" t="s">
        <v>51</v>
      </c>
      <c r="R117" s="9" t="s">
        <v>40</v>
      </c>
      <c r="S117" s="9" t="s">
        <v>40</v>
      </c>
    </row>
    <row r="118" spans="1:19" s="23" customFormat="1" ht="15" x14ac:dyDescent="0.25">
      <c r="A118" s="9"/>
      <c r="B118" s="9" t="s">
        <v>211</v>
      </c>
      <c r="C118" s="9" t="s">
        <v>58</v>
      </c>
      <c r="D118" s="9"/>
      <c r="E118" s="9"/>
      <c r="F118" s="9" t="s">
        <v>40</v>
      </c>
      <c r="G118" s="9" t="s">
        <v>31</v>
      </c>
      <c r="H118" s="9"/>
      <c r="I118" s="14">
        <v>3</v>
      </c>
      <c r="J118" s="9" t="s">
        <v>213</v>
      </c>
      <c r="K118" s="9" t="s">
        <v>51</v>
      </c>
      <c r="L118" s="10"/>
      <c r="M118" s="9"/>
      <c r="N118" s="76" t="s">
        <v>66</v>
      </c>
      <c r="O118" s="12" t="s">
        <v>144</v>
      </c>
      <c r="P118" s="83"/>
      <c r="Q118" s="16" t="s">
        <v>31</v>
      </c>
      <c r="R118" s="16" t="s">
        <v>31</v>
      </c>
      <c r="S118" s="16" t="s">
        <v>31</v>
      </c>
    </row>
    <row r="119" spans="1:19" s="23" customFormat="1" ht="15" x14ac:dyDescent="0.25">
      <c r="A119" s="9"/>
      <c r="B119" s="9" t="s">
        <v>214</v>
      </c>
      <c r="C119" s="9" t="s">
        <v>39</v>
      </c>
      <c r="D119" s="9" t="s">
        <v>40</v>
      </c>
      <c r="E119" s="9" t="s">
        <v>49</v>
      </c>
      <c r="F119" s="9" t="s">
        <v>40</v>
      </c>
      <c r="G119" s="9" t="s">
        <v>373</v>
      </c>
      <c r="H119" s="9"/>
      <c r="I119" s="14">
        <v>6</v>
      </c>
      <c r="J119" s="9" t="s">
        <v>213</v>
      </c>
      <c r="K119" s="9" t="s">
        <v>51</v>
      </c>
      <c r="L119" s="10"/>
      <c r="M119" s="9"/>
      <c r="N119" s="76" t="s">
        <v>64</v>
      </c>
      <c r="O119" s="12">
        <v>815.8</v>
      </c>
      <c r="Q119" s="9" t="s">
        <v>40</v>
      </c>
      <c r="R119" s="9" t="s">
        <v>40</v>
      </c>
      <c r="S119" s="9" t="s">
        <v>40</v>
      </c>
    </row>
    <row r="120" spans="1:19" s="23" customFormat="1" ht="15" x14ac:dyDescent="0.25">
      <c r="A120" s="17"/>
      <c r="B120" s="9" t="s">
        <v>219</v>
      </c>
      <c r="C120" s="9" t="s">
        <v>39</v>
      </c>
      <c r="D120" s="9" t="s">
        <v>40</v>
      </c>
      <c r="E120" s="9" t="s">
        <v>40</v>
      </c>
      <c r="F120" s="9" t="s">
        <v>40</v>
      </c>
      <c r="G120" s="6" t="s">
        <v>383</v>
      </c>
      <c r="H120" s="9"/>
      <c r="I120" s="14">
        <v>2</v>
      </c>
      <c r="J120" s="19">
        <v>4.2361111111111106E-2</v>
      </c>
      <c r="K120" s="9" t="s">
        <v>63</v>
      </c>
      <c r="L120" s="10">
        <v>42123</v>
      </c>
      <c r="M120" s="9"/>
      <c r="N120" s="76" t="s">
        <v>64</v>
      </c>
      <c r="O120" s="12">
        <v>541.76</v>
      </c>
      <c r="P120" s="82"/>
      <c r="Q120" s="9" t="s">
        <v>40</v>
      </c>
      <c r="R120" s="9" t="s">
        <v>40</v>
      </c>
      <c r="S120" s="9" t="s">
        <v>40</v>
      </c>
    </row>
    <row r="121" spans="1:19" s="23" customFormat="1" ht="15" x14ac:dyDescent="0.25">
      <c r="A121" s="9"/>
      <c r="B121" s="9" t="s">
        <v>216</v>
      </c>
      <c r="C121" s="9" t="s">
        <v>39</v>
      </c>
      <c r="D121" s="9" t="s">
        <v>40</v>
      </c>
      <c r="E121" s="9" t="s">
        <v>40</v>
      </c>
      <c r="F121" s="9" t="s">
        <v>40</v>
      </c>
      <c r="G121" s="6" t="s">
        <v>381</v>
      </c>
      <c r="H121" s="9"/>
      <c r="I121" s="14">
        <v>1</v>
      </c>
      <c r="J121" s="9"/>
      <c r="K121" s="9" t="s">
        <v>63</v>
      </c>
      <c r="L121" s="10"/>
      <c r="M121" s="9" t="s">
        <v>40</v>
      </c>
      <c r="N121" s="76" t="s">
        <v>64</v>
      </c>
      <c r="O121" s="82">
        <v>2672.03</v>
      </c>
      <c r="P121" s="82"/>
      <c r="Q121" s="9" t="s">
        <v>40</v>
      </c>
      <c r="R121" s="9" t="s">
        <v>40</v>
      </c>
      <c r="S121" s="9" t="s">
        <v>215</v>
      </c>
    </row>
    <row r="122" spans="1:19" s="23" customFormat="1" ht="15" x14ac:dyDescent="0.25">
      <c r="A122" s="9"/>
      <c r="B122" s="9" t="s">
        <v>217</v>
      </c>
      <c r="C122" s="9" t="s">
        <v>39</v>
      </c>
      <c r="D122" s="9" t="s">
        <v>40</v>
      </c>
      <c r="E122" s="9" t="s">
        <v>49</v>
      </c>
      <c r="F122" s="9" t="s">
        <v>49</v>
      </c>
      <c r="G122" s="6" t="s">
        <v>381</v>
      </c>
      <c r="H122" s="9" t="s">
        <v>382</v>
      </c>
      <c r="I122" s="14">
        <v>3</v>
      </c>
      <c r="J122" s="9" t="s">
        <v>187</v>
      </c>
      <c r="K122" s="9" t="s">
        <v>42</v>
      </c>
      <c r="L122" s="10" t="s">
        <v>243</v>
      </c>
      <c r="M122" s="9" t="s">
        <v>40</v>
      </c>
      <c r="N122" s="76" t="s">
        <v>64</v>
      </c>
      <c r="O122" s="12">
        <v>787.85</v>
      </c>
      <c r="P122" s="82"/>
      <c r="Q122" s="9" t="s">
        <v>40</v>
      </c>
      <c r="R122" s="9" t="s">
        <v>40</v>
      </c>
      <c r="S122" s="9" t="s">
        <v>55</v>
      </c>
    </row>
    <row r="123" spans="1:19" s="23" customFormat="1" ht="15" x14ac:dyDescent="0.25">
      <c r="A123" s="9"/>
      <c r="B123" s="9" t="s">
        <v>218</v>
      </c>
      <c r="C123" s="9" t="s">
        <v>58</v>
      </c>
      <c r="D123" s="9" t="s">
        <v>40</v>
      </c>
      <c r="E123" s="9" t="s">
        <v>40</v>
      </c>
      <c r="F123" s="9" t="s">
        <v>40</v>
      </c>
      <c r="G123" s="9" t="s">
        <v>31</v>
      </c>
      <c r="H123" s="9"/>
      <c r="I123" s="14">
        <v>3</v>
      </c>
      <c r="J123" s="9"/>
      <c r="K123" s="9" t="s">
        <v>63</v>
      </c>
      <c r="L123" s="10"/>
      <c r="M123" s="9"/>
      <c r="N123" s="76" t="s">
        <v>222</v>
      </c>
      <c r="O123" s="12" t="s">
        <v>144</v>
      </c>
      <c r="P123" s="82">
        <v>121.55</v>
      </c>
      <c r="Q123" s="9" t="s">
        <v>40</v>
      </c>
      <c r="R123" s="9" t="s">
        <v>31</v>
      </c>
      <c r="S123" s="9" t="s">
        <v>31</v>
      </c>
    </row>
    <row r="124" spans="1:19" s="23" customFormat="1" ht="15" x14ac:dyDescent="0.25">
      <c r="A124" s="9"/>
      <c r="B124" s="9" t="s">
        <v>220</v>
      </c>
      <c r="C124" s="9" t="s">
        <v>39</v>
      </c>
      <c r="D124" s="9" t="s">
        <v>40</v>
      </c>
      <c r="E124" s="9" t="s">
        <v>40</v>
      </c>
      <c r="F124" s="9" t="s">
        <v>40</v>
      </c>
      <c r="G124" s="9" t="s">
        <v>380</v>
      </c>
      <c r="H124" s="9"/>
      <c r="I124" s="14">
        <v>3</v>
      </c>
      <c r="J124" s="9" t="s">
        <v>187</v>
      </c>
      <c r="K124" s="9" t="s">
        <v>63</v>
      </c>
      <c r="L124" s="10">
        <v>42109</v>
      </c>
      <c r="M124" s="9" t="s">
        <v>40</v>
      </c>
      <c r="N124" s="76" t="s">
        <v>64</v>
      </c>
      <c r="O124" s="12">
        <v>527.22</v>
      </c>
      <c r="P124" s="82"/>
      <c r="Q124" s="9" t="s">
        <v>40</v>
      </c>
      <c r="R124" s="9" t="s">
        <v>40</v>
      </c>
      <c r="S124" s="9" t="s">
        <v>55</v>
      </c>
    </row>
    <row r="125" spans="1:19" s="23" customFormat="1" ht="15" x14ac:dyDescent="0.25">
      <c r="A125" s="9"/>
      <c r="B125" s="9" t="s">
        <v>221</v>
      </c>
      <c r="C125" s="9" t="s">
        <v>39</v>
      </c>
      <c r="D125" s="9" t="s">
        <v>49</v>
      </c>
      <c r="E125" s="9" t="s">
        <v>49</v>
      </c>
      <c r="F125" s="9" t="s">
        <v>49</v>
      </c>
      <c r="G125" s="6" t="s">
        <v>379</v>
      </c>
      <c r="H125" s="9"/>
      <c r="I125" s="14">
        <v>3</v>
      </c>
      <c r="J125" s="9" t="s">
        <v>187</v>
      </c>
      <c r="K125" s="9" t="s">
        <v>51</v>
      </c>
      <c r="L125" s="10"/>
      <c r="M125" s="9"/>
      <c r="N125" s="76" t="s">
        <v>64</v>
      </c>
      <c r="O125" s="12">
        <v>618.29999999999995</v>
      </c>
      <c r="P125" s="82"/>
      <c r="Q125" s="9" t="s">
        <v>40</v>
      </c>
      <c r="R125" s="9" t="s">
        <v>40</v>
      </c>
      <c r="S125" s="9" t="s">
        <v>40</v>
      </c>
    </row>
    <row r="126" spans="1:19" s="23" customFormat="1" ht="15" x14ac:dyDescent="0.25">
      <c r="A126" s="9"/>
      <c r="B126" s="9" t="s">
        <v>224</v>
      </c>
      <c r="C126" s="9" t="s">
        <v>39</v>
      </c>
      <c r="D126" s="9" t="s">
        <v>49</v>
      </c>
      <c r="E126" s="9" t="s">
        <v>49</v>
      </c>
      <c r="F126" s="9" t="s">
        <v>49</v>
      </c>
      <c r="G126" s="6" t="s">
        <v>381</v>
      </c>
      <c r="H126" s="9"/>
      <c r="I126" s="14">
        <v>3</v>
      </c>
      <c r="J126" s="9" t="s">
        <v>225</v>
      </c>
      <c r="K126" s="9" t="s">
        <v>63</v>
      </c>
      <c r="L126" s="10"/>
      <c r="M126" s="9"/>
      <c r="N126" s="77" t="s">
        <v>64</v>
      </c>
      <c r="O126" s="12">
        <v>1326.74</v>
      </c>
      <c r="P126" s="82"/>
      <c r="Q126" s="9" t="s">
        <v>51</v>
      </c>
      <c r="R126" s="9" t="s">
        <v>40</v>
      </c>
      <c r="S126" s="9" t="s">
        <v>55</v>
      </c>
    </row>
    <row r="127" spans="1:19" s="23" customFormat="1" ht="15" x14ac:dyDescent="0.25">
      <c r="A127" s="9"/>
      <c r="B127" s="9" t="s">
        <v>223</v>
      </c>
      <c r="C127" s="9" t="s">
        <v>39</v>
      </c>
      <c r="D127" s="17" t="s">
        <v>40</v>
      </c>
      <c r="E127" s="9" t="s">
        <v>40</v>
      </c>
      <c r="F127" s="9" t="s">
        <v>40</v>
      </c>
      <c r="G127" s="6" t="s">
        <v>385</v>
      </c>
      <c r="H127" s="9"/>
      <c r="I127" s="14">
        <v>6</v>
      </c>
      <c r="J127" s="9"/>
      <c r="K127" s="9" t="s">
        <v>63</v>
      </c>
      <c r="L127" s="10"/>
      <c r="M127" s="9"/>
      <c r="N127" s="76" t="s">
        <v>64</v>
      </c>
      <c r="O127" s="12">
        <v>1066.25</v>
      </c>
      <c r="P127" s="82"/>
      <c r="Q127" s="9" t="s">
        <v>40</v>
      </c>
      <c r="R127" s="9" t="s">
        <v>40</v>
      </c>
      <c r="S127" s="9" t="s">
        <v>55</v>
      </c>
    </row>
    <row r="128" spans="1:19" s="23" customFormat="1" ht="15" x14ac:dyDescent="0.25">
      <c r="A128" s="9"/>
      <c r="B128" s="9" t="s">
        <v>263</v>
      </c>
      <c r="C128" s="9" t="s">
        <v>39</v>
      </c>
      <c r="D128" s="17" t="s">
        <v>144</v>
      </c>
      <c r="E128" s="9" t="s">
        <v>40</v>
      </c>
      <c r="F128" s="9" t="s">
        <v>40</v>
      </c>
      <c r="G128" s="6" t="s">
        <v>381</v>
      </c>
      <c r="H128" s="9"/>
      <c r="I128" s="14">
        <v>3</v>
      </c>
      <c r="J128" s="9"/>
      <c r="K128" s="9" t="s">
        <v>51</v>
      </c>
      <c r="L128" s="10">
        <v>42108</v>
      </c>
      <c r="M128" s="9"/>
      <c r="N128" s="76" t="s">
        <v>64</v>
      </c>
      <c r="O128" s="12">
        <v>1208.5</v>
      </c>
      <c r="P128" s="82"/>
      <c r="Q128" s="9" t="s">
        <v>51</v>
      </c>
      <c r="R128" s="9" t="s">
        <v>40</v>
      </c>
      <c r="S128" s="9" t="s">
        <v>55</v>
      </c>
    </row>
    <row r="129" spans="1:19" s="23" customFormat="1" ht="15" x14ac:dyDescent="0.25">
      <c r="A129" s="9"/>
      <c r="B129" s="9" t="s">
        <v>226</v>
      </c>
      <c r="C129" s="9" t="s">
        <v>39</v>
      </c>
      <c r="D129" s="9" t="s">
        <v>40</v>
      </c>
      <c r="E129" s="9" t="s">
        <v>40</v>
      </c>
      <c r="F129" s="9" t="s">
        <v>40</v>
      </c>
      <c r="G129" s="6" t="s">
        <v>379</v>
      </c>
      <c r="H129" s="9"/>
      <c r="I129" s="14">
        <v>6</v>
      </c>
      <c r="J129" s="9" t="s">
        <v>227</v>
      </c>
      <c r="K129" s="9" t="s">
        <v>51</v>
      </c>
      <c r="L129" s="10"/>
      <c r="M129" s="9"/>
      <c r="N129" s="76" t="s">
        <v>64</v>
      </c>
      <c r="O129" s="12">
        <v>1499.47</v>
      </c>
      <c r="P129" s="82"/>
      <c r="Q129" s="9" t="s">
        <v>40</v>
      </c>
      <c r="R129" s="9" t="s">
        <v>40</v>
      </c>
      <c r="S129" s="9" t="s">
        <v>40</v>
      </c>
    </row>
    <row r="130" spans="1:19" s="23" customFormat="1" ht="15" x14ac:dyDescent="0.25">
      <c r="A130" s="9"/>
      <c r="B130" s="9" t="s">
        <v>228</v>
      </c>
      <c r="C130" s="9" t="s">
        <v>39</v>
      </c>
      <c r="D130" s="9" t="s">
        <v>40</v>
      </c>
      <c r="E130" s="9" t="s">
        <v>40</v>
      </c>
      <c r="F130" s="9" t="s">
        <v>40</v>
      </c>
      <c r="G130" s="6" t="s">
        <v>369</v>
      </c>
      <c r="H130" s="9"/>
      <c r="I130" s="14">
        <v>2</v>
      </c>
      <c r="J130" s="9" t="s">
        <v>229</v>
      </c>
      <c r="K130" s="9" t="s">
        <v>51</v>
      </c>
      <c r="L130" s="10"/>
      <c r="M130" s="9"/>
      <c r="N130" s="76" t="s">
        <v>64</v>
      </c>
      <c r="O130" s="12">
        <v>676.48</v>
      </c>
      <c r="P130" s="82"/>
      <c r="Q130" s="9" t="s">
        <v>40</v>
      </c>
      <c r="R130" s="9" t="s">
        <v>40</v>
      </c>
      <c r="S130" s="9" t="s">
        <v>40</v>
      </c>
    </row>
    <row r="131" spans="1:19" s="23" customFormat="1" ht="15" x14ac:dyDescent="0.25">
      <c r="A131" s="9"/>
      <c r="B131" s="9" t="s">
        <v>230</v>
      </c>
      <c r="C131" s="9" t="s">
        <v>39</v>
      </c>
      <c r="D131" s="9" t="s">
        <v>40</v>
      </c>
      <c r="E131" s="9" t="s">
        <v>40</v>
      </c>
      <c r="F131" s="9" t="s">
        <v>40</v>
      </c>
      <c r="G131" s="6" t="s">
        <v>369</v>
      </c>
      <c r="H131" s="9"/>
      <c r="I131" s="14">
        <v>1</v>
      </c>
      <c r="J131" s="9"/>
      <c r="K131" s="9" t="s">
        <v>63</v>
      </c>
      <c r="L131" s="10">
        <v>42117</v>
      </c>
      <c r="M131" s="9"/>
      <c r="N131" s="76" t="s">
        <v>64</v>
      </c>
      <c r="O131" s="12">
        <v>427.07</v>
      </c>
      <c r="P131" s="82"/>
      <c r="Q131" s="9" t="s">
        <v>51</v>
      </c>
      <c r="R131" s="9" t="s">
        <v>40</v>
      </c>
      <c r="S131" s="9" t="s">
        <v>40</v>
      </c>
    </row>
    <row r="132" spans="1:19" s="23" customFormat="1" ht="15" x14ac:dyDescent="0.25">
      <c r="A132" s="9"/>
      <c r="B132" s="9" t="s">
        <v>231</v>
      </c>
      <c r="C132" s="9" t="s">
        <v>39</v>
      </c>
      <c r="D132" s="9" t="s">
        <v>49</v>
      </c>
      <c r="E132" s="9" t="s">
        <v>49</v>
      </c>
      <c r="F132" s="9" t="s">
        <v>49</v>
      </c>
      <c r="G132" s="6" t="s">
        <v>375</v>
      </c>
      <c r="H132" s="9"/>
      <c r="I132" s="14">
        <v>3</v>
      </c>
      <c r="J132" s="9" t="s">
        <v>50</v>
      </c>
      <c r="K132" s="9" t="s">
        <v>51</v>
      </c>
      <c r="L132" s="10">
        <v>42156</v>
      </c>
      <c r="M132" s="9" t="s">
        <v>40</v>
      </c>
      <c r="N132" s="76" t="s">
        <v>64</v>
      </c>
      <c r="O132" s="12">
        <v>1236.8</v>
      </c>
      <c r="P132" s="82"/>
      <c r="Q132" s="9" t="s">
        <v>51</v>
      </c>
      <c r="R132" s="9" t="s">
        <v>40</v>
      </c>
      <c r="S132" s="9" t="s">
        <v>55</v>
      </c>
    </row>
    <row r="133" spans="1:19" s="23" customFormat="1" ht="15" x14ac:dyDescent="0.25">
      <c r="A133" s="9"/>
      <c r="B133" s="9" t="s">
        <v>232</v>
      </c>
      <c r="C133" s="9" t="s">
        <v>39</v>
      </c>
      <c r="D133" s="9" t="s">
        <v>49</v>
      </c>
      <c r="E133" s="9" t="s">
        <v>40</v>
      </c>
      <c r="F133" s="9" t="s">
        <v>40</v>
      </c>
      <c r="G133" s="6" t="s">
        <v>375</v>
      </c>
      <c r="H133" s="17"/>
      <c r="I133" s="14">
        <v>3</v>
      </c>
      <c r="J133" s="9"/>
      <c r="K133" s="9" t="s">
        <v>51</v>
      </c>
      <c r="L133" s="10">
        <v>42128</v>
      </c>
      <c r="M133" s="9"/>
      <c r="N133" s="76" t="s">
        <v>64</v>
      </c>
      <c r="O133" s="12">
        <v>350.45</v>
      </c>
      <c r="P133" s="82"/>
      <c r="Q133" s="9" t="s">
        <v>40</v>
      </c>
      <c r="R133" s="9" t="s">
        <v>40</v>
      </c>
      <c r="S133" s="9" t="s">
        <v>40</v>
      </c>
    </row>
    <row r="134" spans="1:19" s="23" customFormat="1" ht="15" x14ac:dyDescent="0.25">
      <c r="A134" s="9"/>
      <c r="B134" s="9" t="s">
        <v>234</v>
      </c>
      <c r="C134" s="9" t="s">
        <v>39</v>
      </c>
      <c r="D134" s="9" t="s">
        <v>40</v>
      </c>
      <c r="E134" s="9" t="s">
        <v>40</v>
      </c>
      <c r="F134" s="9" t="s">
        <v>40</v>
      </c>
      <c r="G134" s="6" t="s">
        <v>381</v>
      </c>
      <c r="H134" s="9"/>
      <c r="I134" s="14">
        <v>4</v>
      </c>
      <c r="J134" s="9" t="s">
        <v>244</v>
      </c>
      <c r="K134" s="9" t="s">
        <v>63</v>
      </c>
      <c r="L134" s="10">
        <v>42145</v>
      </c>
      <c r="M134" s="9" t="s">
        <v>40</v>
      </c>
      <c r="N134" s="76" t="s">
        <v>65</v>
      </c>
      <c r="O134" s="12">
        <v>899.73</v>
      </c>
      <c r="P134" s="82"/>
      <c r="Q134" s="9" t="s">
        <v>40</v>
      </c>
      <c r="R134" s="9" t="s">
        <v>40</v>
      </c>
      <c r="S134" s="9" t="s">
        <v>55</v>
      </c>
    </row>
    <row r="135" spans="1:19" s="23" customFormat="1" ht="15" x14ac:dyDescent="0.25">
      <c r="A135" s="9"/>
      <c r="B135" s="9" t="s">
        <v>233</v>
      </c>
      <c r="C135" s="9" t="s">
        <v>58</v>
      </c>
      <c r="D135" s="9" t="s">
        <v>49</v>
      </c>
      <c r="E135" s="9" t="s">
        <v>49</v>
      </c>
      <c r="F135" s="9" t="s">
        <v>49</v>
      </c>
      <c r="G135" s="9" t="s">
        <v>386</v>
      </c>
      <c r="H135" s="9" t="s">
        <v>384</v>
      </c>
      <c r="I135" s="14">
        <v>3</v>
      </c>
      <c r="J135" s="9"/>
      <c r="K135" s="9" t="s">
        <v>51</v>
      </c>
      <c r="L135" s="10"/>
      <c r="M135" s="9"/>
      <c r="N135" s="76" t="s">
        <v>66</v>
      </c>
      <c r="O135" s="12" t="s">
        <v>144</v>
      </c>
      <c r="P135" s="83"/>
      <c r="Q135" s="16" t="s">
        <v>31</v>
      </c>
      <c r="R135" s="16" t="s">
        <v>31</v>
      </c>
      <c r="S135" s="16" t="s">
        <v>31</v>
      </c>
    </row>
    <row r="136" spans="1:19" s="23" customFormat="1" ht="15" x14ac:dyDescent="0.25">
      <c r="A136" s="9"/>
      <c r="B136" s="9" t="s">
        <v>249</v>
      </c>
      <c r="C136" s="9" t="s">
        <v>39</v>
      </c>
      <c r="D136" s="9" t="s">
        <v>40</v>
      </c>
      <c r="E136" s="9" t="s">
        <v>40</v>
      </c>
      <c r="F136" s="9" t="s">
        <v>40</v>
      </c>
      <c r="G136" s="6" t="s">
        <v>383</v>
      </c>
      <c r="H136" s="9"/>
      <c r="I136" s="14">
        <v>1</v>
      </c>
      <c r="J136" s="9"/>
      <c r="K136" s="9" t="s">
        <v>63</v>
      </c>
      <c r="L136" s="10"/>
      <c r="M136" s="9"/>
      <c r="N136" s="76" t="s">
        <v>64</v>
      </c>
      <c r="O136" s="12">
        <v>713.4</v>
      </c>
      <c r="P136" s="82"/>
      <c r="Q136" s="9" t="s">
        <v>40</v>
      </c>
      <c r="R136" s="9" t="s">
        <v>40</v>
      </c>
      <c r="S136" s="9" t="s">
        <v>40</v>
      </c>
    </row>
    <row r="137" spans="1:19" ht="15" x14ac:dyDescent="0.25">
      <c r="A137" s="9"/>
      <c r="B137" s="9" t="s">
        <v>235</v>
      </c>
      <c r="C137" s="9" t="s">
        <v>39</v>
      </c>
      <c r="D137" s="9" t="s">
        <v>40</v>
      </c>
      <c r="E137" s="9" t="s">
        <v>40</v>
      </c>
      <c r="F137" s="9" t="s">
        <v>40</v>
      </c>
      <c r="G137" s="6" t="s">
        <v>381</v>
      </c>
      <c r="H137" s="9"/>
      <c r="I137" s="9">
        <v>3</v>
      </c>
      <c r="J137" s="9"/>
      <c r="K137" s="9" t="s">
        <v>42</v>
      </c>
      <c r="L137" s="20">
        <v>42138</v>
      </c>
      <c r="M137" s="9" t="s">
        <v>40</v>
      </c>
      <c r="N137" s="76" t="s">
        <v>76</v>
      </c>
      <c r="O137" s="9">
        <v>532.04</v>
      </c>
      <c r="P137" s="86"/>
      <c r="Q137" s="9" t="s">
        <v>51</v>
      </c>
      <c r="R137" s="9" t="s">
        <v>40</v>
      </c>
      <c r="S137" s="9" t="s">
        <v>55</v>
      </c>
    </row>
    <row r="138" spans="1:19" s="23" customFormat="1" ht="15" x14ac:dyDescent="0.25">
      <c r="A138" s="9"/>
      <c r="B138" s="9" t="s">
        <v>236</v>
      </c>
      <c r="C138" s="9" t="s">
        <v>39</v>
      </c>
      <c r="D138" s="9" t="s">
        <v>49</v>
      </c>
      <c r="E138" s="9" t="s">
        <v>49</v>
      </c>
      <c r="F138" s="9" t="s">
        <v>49</v>
      </c>
      <c r="G138" s="6" t="s">
        <v>374</v>
      </c>
      <c r="H138" s="9"/>
      <c r="I138" s="14">
        <v>1</v>
      </c>
      <c r="J138" s="9"/>
      <c r="K138" s="9" t="s">
        <v>51</v>
      </c>
      <c r="L138" s="10">
        <v>42144</v>
      </c>
      <c r="M138" s="9" t="s">
        <v>40</v>
      </c>
      <c r="N138" s="76" t="s">
        <v>64</v>
      </c>
      <c r="O138" s="12">
        <v>1122.6300000000001</v>
      </c>
      <c r="P138" s="82"/>
      <c r="Q138" s="9" t="s">
        <v>40</v>
      </c>
      <c r="R138" s="9" t="s">
        <v>146</v>
      </c>
      <c r="S138" s="9" t="s">
        <v>146</v>
      </c>
    </row>
    <row r="139" spans="1:19" s="23" customFormat="1" ht="15" x14ac:dyDescent="0.25">
      <c r="A139" s="9"/>
      <c r="B139" s="9" t="s">
        <v>237</v>
      </c>
      <c r="C139" s="9" t="s">
        <v>39</v>
      </c>
      <c r="D139" s="9" t="s">
        <v>40</v>
      </c>
      <c r="E139" s="9" t="s">
        <v>49</v>
      </c>
      <c r="F139" s="9" t="s">
        <v>49</v>
      </c>
      <c r="G139" s="6" t="s">
        <v>381</v>
      </c>
      <c r="H139" s="9"/>
      <c r="I139" s="14">
        <v>3</v>
      </c>
      <c r="J139" s="9" t="s">
        <v>240</v>
      </c>
      <c r="K139" s="9" t="s">
        <v>51</v>
      </c>
      <c r="L139" s="10">
        <v>42130</v>
      </c>
      <c r="M139" s="9" t="s">
        <v>40</v>
      </c>
      <c r="N139" s="76" t="s">
        <v>64</v>
      </c>
      <c r="O139" s="12">
        <v>574.39</v>
      </c>
      <c r="P139" s="82"/>
      <c r="Q139" s="9" t="s">
        <v>40</v>
      </c>
      <c r="R139" s="9" t="s">
        <v>49</v>
      </c>
      <c r="S139" s="9" t="s">
        <v>40</v>
      </c>
    </row>
    <row r="140" spans="1:19" s="23" customFormat="1" ht="15" x14ac:dyDescent="0.25">
      <c r="A140" s="9"/>
      <c r="B140" s="9" t="s">
        <v>238</v>
      </c>
      <c r="C140" s="9" t="s">
        <v>63</v>
      </c>
      <c r="D140" s="9"/>
      <c r="E140" s="9" t="s">
        <v>49</v>
      </c>
      <c r="F140" s="9"/>
      <c r="G140" s="9" t="s">
        <v>31</v>
      </c>
      <c r="H140" s="9"/>
      <c r="I140" s="14">
        <v>3</v>
      </c>
      <c r="J140" s="9" t="s">
        <v>61</v>
      </c>
      <c r="K140" s="9" t="s">
        <v>63</v>
      </c>
      <c r="L140" s="10"/>
      <c r="M140" s="9"/>
      <c r="N140" s="76" t="s">
        <v>142</v>
      </c>
      <c r="O140" s="12" t="s">
        <v>144</v>
      </c>
      <c r="P140" s="83"/>
      <c r="Q140" s="16" t="s">
        <v>31</v>
      </c>
      <c r="R140" s="16" t="s">
        <v>31</v>
      </c>
      <c r="S140" s="16" t="s">
        <v>31</v>
      </c>
    </row>
    <row r="141" spans="1:19" s="23" customFormat="1" ht="15" x14ac:dyDescent="0.25">
      <c r="A141" s="9"/>
      <c r="B141" s="9" t="s">
        <v>239</v>
      </c>
      <c r="C141" s="9" t="s">
        <v>39</v>
      </c>
      <c r="D141" s="9" t="s">
        <v>49</v>
      </c>
      <c r="E141" s="9" t="s">
        <v>49</v>
      </c>
      <c r="F141" s="9" t="s">
        <v>49</v>
      </c>
      <c r="G141" s="9" t="s">
        <v>368</v>
      </c>
      <c r="H141" s="9"/>
      <c r="I141" s="14">
        <v>3</v>
      </c>
      <c r="J141" s="9" t="s">
        <v>61</v>
      </c>
      <c r="K141" s="9" t="s">
        <v>63</v>
      </c>
      <c r="L141" s="10">
        <v>42142</v>
      </c>
      <c r="M141" s="9" t="s">
        <v>40</v>
      </c>
      <c r="N141" s="76" t="s">
        <v>64</v>
      </c>
      <c r="O141" s="12">
        <v>451.04</v>
      </c>
      <c r="P141" s="82"/>
      <c r="Q141" s="9" t="s">
        <v>51</v>
      </c>
      <c r="R141" s="9" t="s">
        <v>40</v>
      </c>
      <c r="S141" s="9" t="s">
        <v>55</v>
      </c>
    </row>
    <row r="142" spans="1:19" s="23" customFormat="1" ht="15" x14ac:dyDescent="0.25">
      <c r="A142" s="9"/>
      <c r="B142" s="9" t="s">
        <v>242</v>
      </c>
      <c r="C142" s="9" t="s">
        <v>39</v>
      </c>
      <c r="D142" s="9" t="s">
        <v>40</v>
      </c>
      <c r="E142" s="9" t="s">
        <v>40</v>
      </c>
      <c r="F142" s="9" t="s">
        <v>40</v>
      </c>
      <c r="G142" s="6" t="s">
        <v>385</v>
      </c>
      <c r="H142" s="9"/>
      <c r="I142" s="14">
        <v>5</v>
      </c>
      <c r="J142" s="9"/>
      <c r="K142" s="9" t="s">
        <v>51</v>
      </c>
      <c r="L142" s="10" t="s">
        <v>257</v>
      </c>
      <c r="M142" s="9"/>
      <c r="N142" s="76" t="s">
        <v>64</v>
      </c>
      <c r="O142" s="12">
        <v>915.34</v>
      </c>
      <c r="P142" s="82"/>
      <c r="Q142" s="9" t="s">
        <v>51</v>
      </c>
      <c r="R142" s="9" t="s">
        <v>40</v>
      </c>
      <c r="S142" s="9" t="s">
        <v>55</v>
      </c>
    </row>
    <row r="143" spans="1:19" s="23" customFormat="1" ht="15" x14ac:dyDescent="0.25">
      <c r="A143" s="6"/>
      <c r="B143" s="6" t="s">
        <v>245</v>
      </c>
      <c r="C143" s="9" t="s">
        <v>39</v>
      </c>
      <c r="D143" s="9" t="s">
        <v>144</v>
      </c>
      <c r="E143" s="9" t="s">
        <v>40</v>
      </c>
      <c r="F143" s="9" t="s">
        <v>192</v>
      </c>
      <c r="G143" s="6" t="s">
        <v>381</v>
      </c>
      <c r="H143" s="9"/>
      <c r="I143" s="14">
        <v>3</v>
      </c>
      <c r="J143" s="9" t="s">
        <v>246</v>
      </c>
      <c r="K143" s="9" t="s">
        <v>42</v>
      </c>
      <c r="L143" s="10">
        <v>42136</v>
      </c>
      <c r="M143" s="9" t="s">
        <v>40</v>
      </c>
      <c r="N143" s="76" t="s">
        <v>64</v>
      </c>
      <c r="O143" s="12">
        <v>1208.5</v>
      </c>
      <c r="P143" s="82"/>
      <c r="Q143" s="9" t="s">
        <v>40</v>
      </c>
      <c r="R143" s="9" t="s">
        <v>40</v>
      </c>
      <c r="S143" s="9" t="s">
        <v>55</v>
      </c>
    </row>
    <row r="144" spans="1:19" s="23" customFormat="1" ht="15" x14ac:dyDescent="0.25">
      <c r="A144" s="6"/>
      <c r="B144" s="6" t="s">
        <v>250</v>
      </c>
      <c r="C144" s="9" t="s">
        <v>39</v>
      </c>
      <c r="D144" s="9" t="s">
        <v>40</v>
      </c>
      <c r="E144" s="9" t="s">
        <v>40</v>
      </c>
      <c r="F144" s="9" t="s">
        <v>40</v>
      </c>
      <c r="G144" s="6" t="s">
        <v>381</v>
      </c>
      <c r="H144" s="9"/>
      <c r="I144" s="14">
        <v>3</v>
      </c>
      <c r="J144" s="9"/>
      <c r="K144" s="9" t="s">
        <v>51</v>
      </c>
      <c r="L144" s="10">
        <v>42138</v>
      </c>
      <c r="M144" s="9"/>
      <c r="N144" s="76" t="s">
        <v>64</v>
      </c>
      <c r="O144" s="12">
        <v>1087</v>
      </c>
      <c r="P144" s="82"/>
      <c r="Q144" s="9" t="s">
        <v>51</v>
      </c>
      <c r="R144" s="9" t="s">
        <v>40</v>
      </c>
      <c r="S144" s="9" t="s">
        <v>55</v>
      </c>
    </row>
    <row r="145" spans="1:19" s="23" customFormat="1" ht="15" x14ac:dyDescent="0.25">
      <c r="A145" s="9"/>
      <c r="B145" s="9" t="s">
        <v>247</v>
      </c>
      <c r="C145" s="9" t="s">
        <v>39</v>
      </c>
      <c r="D145" s="9" t="s">
        <v>40</v>
      </c>
      <c r="E145" s="9" t="s">
        <v>40</v>
      </c>
      <c r="F145" s="9" t="s">
        <v>40</v>
      </c>
      <c r="G145" s="9" t="s">
        <v>368</v>
      </c>
      <c r="H145" s="9"/>
      <c r="I145" s="14">
        <v>3</v>
      </c>
      <c r="J145" s="9"/>
      <c r="K145" s="9" t="s">
        <v>63</v>
      </c>
      <c r="L145" s="10"/>
      <c r="M145" s="9"/>
      <c r="N145" s="76" t="s">
        <v>64</v>
      </c>
      <c r="O145" s="12">
        <v>255.25</v>
      </c>
      <c r="P145" s="82"/>
      <c r="Q145" s="9" t="s">
        <v>40</v>
      </c>
      <c r="R145" s="9" t="s">
        <v>40</v>
      </c>
      <c r="S145" s="9" t="s">
        <v>40</v>
      </c>
    </row>
    <row r="146" spans="1:19" s="23" customFormat="1" ht="15" x14ac:dyDescent="0.25">
      <c r="A146" s="9"/>
      <c r="B146" s="9" t="s">
        <v>248</v>
      </c>
      <c r="C146" s="9" t="s">
        <v>39</v>
      </c>
      <c r="D146" s="9" t="s">
        <v>40</v>
      </c>
      <c r="E146" s="9" t="s">
        <v>40</v>
      </c>
      <c r="F146" s="9" t="s">
        <v>40</v>
      </c>
      <c r="G146" s="9" t="s">
        <v>386</v>
      </c>
      <c r="H146" s="9"/>
      <c r="I146" s="14">
        <v>3</v>
      </c>
      <c r="J146" s="9" t="s">
        <v>176</v>
      </c>
      <c r="K146" s="9" t="s">
        <v>51</v>
      </c>
      <c r="L146" s="10"/>
      <c r="M146" s="9"/>
      <c r="N146" s="76" t="s">
        <v>64</v>
      </c>
      <c r="O146" s="12">
        <v>355.39</v>
      </c>
      <c r="P146" s="82"/>
      <c r="Q146" s="9" t="s">
        <v>51</v>
      </c>
      <c r="R146" s="9" t="s">
        <v>40</v>
      </c>
      <c r="S146" s="9" t="s">
        <v>55</v>
      </c>
    </row>
    <row r="147" spans="1:19" s="23" customFormat="1" ht="15" x14ac:dyDescent="0.25">
      <c r="A147" s="9"/>
      <c r="B147" s="9" t="s">
        <v>252</v>
      </c>
      <c r="C147" s="9" t="s">
        <v>39</v>
      </c>
      <c r="D147" s="9" t="s">
        <v>40</v>
      </c>
      <c r="E147" s="9" t="s">
        <v>40</v>
      </c>
      <c r="F147" s="9" t="s">
        <v>40</v>
      </c>
      <c r="G147" s="6" t="s">
        <v>379</v>
      </c>
      <c r="H147" s="9"/>
      <c r="I147" s="14">
        <v>5</v>
      </c>
      <c r="J147" s="9" t="s">
        <v>251</v>
      </c>
      <c r="K147" s="9"/>
      <c r="L147" s="10"/>
      <c r="M147" s="9"/>
      <c r="N147" s="76" t="s">
        <v>64</v>
      </c>
      <c r="O147" s="12">
        <v>800.83</v>
      </c>
      <c r="P147" s="82"/>
      <c r="Q147" s="9" t="s">
        <v>51</v>
      </c>
      <c r="R147" s="9" t="s">
        <v>40</v>
      </c>
      <c r="S147" s="9" t="s">
        <v>55</v>
      </c>
    </row>
    <row r="148" spans="1:19" s="23" customFormat="1" ht="15" x14ac:dyDescent="0.25">
      <c r="A148" s="9"/>
      <c r="B148" s="9" t="s">
        <v>253</v>
      </c>
      <c r="C148" s="9" t="s">
        <v>39</v>
      </c>
      <c r="D148" s="9" t="s">
        <v>40</v>
      </c>
      <c r="E148" s="9" t="s">
        <v>40</v>
      </c>
      <c r="F148" s="9" t="s">
        <v>40</v>
      </c>
      <c r="G148" s="6" t="s">
        <v>383</v>
      </c>
      <c r="H148" s="9"/>
      <c r="I148" s="14">
        <v>1</v>
      </c>
      <c r="J148" s="9"/>
      <c r="K148" s="9"/>
      <c r="L148" s="10"/>
      <c r="M148" s="9"/>
      <c r="N148" s="76" t="s">
        <v>64</v>
      </c>
      <c r="O148" s="12">
        <v>589.79999999999995</v>
      </c>
      <c r="P148" s="82"/>
      <c r="Q148" s="9" t="s">
        <v>51</v>
      </c>
      <c r="R148" s="9" t="s">
        <v>40</v>
      </c>
      <c r="S148" s="9" t="s">
        <v>55</v>
      </c>
    </row>
    <row r="149" spans="1:19" s="23" customFormat="1" ht="15" x14ac:dyDescent="0.25">
      <c r="A149" s="9"/>
      <c r="B149" s="9" t="s">
        <v>255</v>
      </c>
      <c r="C149" s="9" t="s">
        <v>39</v>
      </c>
      <c r="D149" s="9" t="s">
        <v>40</v>
      </c>
      <c r="E149" s="9" t="s">
        <v>40</v>
      </c>
      <c r="F149" s="9" t="s">
        <v>40</v>
      </c>
      <c r="G149" s="6" t="s">
        <v>377</v>
      </c>
      <c r="H149" s="9"/>
      <c r="I149" s="14">
        <v>3</v>
      </c>
      <c r="J149" s="9"/>
      <c r="K149" s="9"/>
      <c r="L149" s="10">
        <v>42142</v>
      </c>
      <c r="M149" s="9"/>
      <c r="N149" s="76" t="s">
        <v>64</v>
      </c>
      <c r="O149" s="12">
        <v>298.87</v>
      </c>
      <c r="P149" s="82"/>
      <c r="Q149" s="9" t="s">
        <v>40</v>
      </c>
      <c r="R149" s="9" t="s">
        <v>40</v>
      </c>
      <c r="S149" s="9"/>
    </row>
    <row r="150" spans="1:19" s="23" customFormat="1" ht="15" x14ac:dyDescent="0.25">
      <c r="A150" s="9"/>
      <c r="B150" s="9" t="s">
        <v>256</v>
      </c>
      <c r="C150" s="9" t="s">
        <v>63</v>
      </c>
      <c r="D150" s="9"/>
      <c r="E150" s="9"/>
      <c r="F150" s="9"/>
      <c r="G150" s="9" t="s">
        <v>31</v>
      </c>
      <c r="H150" s="9"/>
      <c r="I150" s="14">
        <v>3</v>
      </c>
      <c r="J150" s="9"/>
      <c r="K150" s="9"/>
      <c r="L150" s="10"/>
      <c r="M150" s="9"/>
      <c r="N150" s="76" t="s">
        <v>85</v>
      </c>
      <c r="O150" s="12" t="s">
        <v>144</v>
      </c>
      <c r="P150" s="83"/>
      <c r="Q150" s="16" t="s">
        <v>31</v>
      </c>
      <c r="R150" s="16" t="s">
        <v>31</v>
      </c>
      <c r="S150" s="16" t="s">
        <v>31</v>
      </c>
    </row>
    <row r="151" spans="1:19" s="23" customFormat="1" ht="15" x14ac:dyDescent="0.25">
      <c r="A151" s="9"/>
      <c r="B151" s="9" t="s">
        <v>254</v>
      </c>
      <c r="C151" s="9" t="s">
        <v>39</v>
      </c>
      <c r="D151" s="9" t="s">
        <v>144</v>
      </c>
      <c r="E151" s="9" t="s">
        <v>40</v>
      </c>
      <c r="F151" s="9" t="s">
        <v>146</v>
      </c>
      <c r="G151" s="6" t="s">
        <v>369</v>
      </c>
      <c r="H151" s="9"/>
      <c r="I151" s="14">
        <v>1</v>
      </c>
      <c r="J151" s="9"/>
      <c r="K151" s="9"/>
      <c r="L151" s="10">
        <v>42142</v>
      </c>
      <c r="M151" s="9" t="s">
        <v>40</v>
      </c>
      <c r="N151" s="76" t="s">
        <v>64</v>
      </c>
      <c r="O151" s="12">
        <v>405.64</v>
      </c>
      <c r="P151" s="82"/>
      <c r="Q151" s="9" t="s">
        <v>40</v>
      </c>
      <c r="R151" s="9" t="s">
        <v>40</v>
      </c>
      <c r="S151" s="9" t="s">
        <v>55</v>
      </c>
    </row>
    <row r="152" spans="1:19" s="23" customFormat="1" ht="15" x14ac:dyDescent="0.25">
      <c r="A152" s="9"/>
      <c r="B152" s="9" t="s">
        <v>258</v>
      </c>
      <c r="C152" s="9" t="s">
        <v>39</v>
      </c>
      <c r="D152" s="9" t="s">
        <v>40</v>
      </c>
      <c r="E152" s="9" t="s">
        <v>40</v>
      </c>
      <c r="F152" s="9" t="s">
        <v>40</v>
      </c>
      <c r="G152" s="6" t="s">
        <v>378</v>
      </c>
      <c r="H152" s="9"/>
      <c r="I152" s="14">
        <v>4</v>
      </c>
      <c r="J152" s="9"/>
      <c r="K152" s="9"/>
      <c r="L152" s="10">
        <v>42146</v>
      </c>
      <c r="M152" s="9" t="s">
        <v>40</v>
      </c>
      <c r="N152" s="76" t="s">
        <v>64</v>
      </c>
      <c r="O152" s="16">
        <v>230.8</v>
      </c>
      <c r="P152" s="83"/>
      <c r="Q152" s="16" t="s">
        <v>31</v>
      </c>
      <c r="R152" s="16" t="s">
        <v>40</v>
      </c>
      <c r="S152" s="16" t="s">
        <v>31</v>
      </c>
    </row>
    <row r="153" spans="1:19" s="23" customFormat="1" ht="15" x14ac:dyDescent="0.25">
      <c r="A153" s="9"/>
      <c r="B153" s="9" t="s">
        <v>259</v>
      </c>
      <c r="C153" s="9" t="s">
        <v>39</v>
      </c>
      <c r="D153" s="9" t="s">
        <v>144</v>
      </c>
      <c r="E153" s="9" t="s">
        <v>144</v>
      </c>
      <c r="F153" s="9" t="s">
        <v>40</v>
      </c>
      <c r="G153" s="6" t="s">
        <v>381</v>
      </c>
      <c r="H153" s="9"/>
      <c r="I153" s="14">
        <v>1</v>
      </c>
      <c r="J153" s="9"/>
      <c r="K153" s="9"/>
      <c r="L153" s="10">
        <v>42159</v>
      </c>
      <c r="M153" s="9"/>
      <c r="N153" s="76" t="s">
        <v>64</v>
      </c>
      <c r="O153" s="12" t="s">
        <v>144</v>
      </c>
      <c r="P153" s="82"/>
      <c r="Q153" s="9"/>
      <c r="R153" s="9"/>
      <c r="S153" s="9"/>
    </row>
    <row r="154" spans="1:19" s="23" customFormat="1" ht="15" x14ac:dyDescent="0.25">
      <c r="A154" s="9"/>
      <c r="B154" s="9" t="s">
        <v>261</v>
      </c>
      <c r="C154" s="9" t="s">
        <v>39</v>
      </c>
      <c r="D154" s="9" t="s">
        <v>40</v>
      </c>
      <c r="E154" s="9" t="s">
        <v>40</v>
      </c>
      <c r="F154" s="9" t="s">
        <v>40</v>
      </c>
      <c r="G154" s="9" t="s">
        <v>376</v>
      </c>
      <c r="H154" s="9"/>
      <c r="I154" s="14">
        <v>4</v>
      </c>
      <c r="J154" s="9"/>
      <c r="K154" s="9"/>
      <c r="L154" s="10"/>
      <c r="M154" s="9"/>
      <c r="N154" s="76" t="s">
        <v>64</v>
      </c>
      <c r="O154" s="12" t="s">
        <v>144</v>
      </c>
      <c r="P154" s="82"/>
      <c r="Q154" s="9"/>
      <c r="R154" s="9"/>
      <c r="S154" s="9"/>
    </row>
    <row r="155" spans="1:19" s="23" customFormat="1" ht="15" x14ac:dyDescent="0.25">
      <c r="A155" s="9"/>
      <c r="B155" s="9" t="s">
        <v>265</v>
      </c>
      <c r="C155" s="9" t="s">
        <v>39</v>
      </c>
      <c r="D155" s="17" t="s">
        <v>40</v>
      </c>
      <c r="E155" s="9" t="s">
        <v>40</v>
      </c>
      <c r="F155" s="9" t="s">
        <v>40</v>
      </c>
      <c r="G155" s="6" t="s">
        <v>375</v>
      </c>
      <c r="H155" s="9"/>
      <c r="I155" s="14">
        <v>3</v>
      </c>
      <c r="J155" s="9"/>
      <c r="K155" s="9"/>
      <c r="L155" s="10">
        <v>42165</v>
      </c>
      <c r="M155" s="9" t="s">
        <v>40</v>
      </c>
      <c r="N155" s="76" t="s">
        <v>64</v>
      </c>
      <c r="O155" s="12" t="s">
        <v>144</v>
      </c>
      <c r="P155" s="82"/>
      <c r="Q155" s="9"/>
      <c r="R155" s="9"/>
      <c r="S155" s="9"/>
    </row>
    <row r="156" spans="1:19" s="23" customFormat="1" ht="15" x14ac:dyDescent="0.25">
      <c r="A156" s="9"/>
      <c r="B156" s="9" t="s">
        <v>264</v>
      </c>
      <c r="C156" s="9" t="s">
        <v>63</v>
      </c>
      <c r="D156" s="9"/>
      <c r="E156" s="9"/>
      <c r="F156" s="9"/>
      <c r="G156" s="9" t="s">
        <v>31</v>
      </c>
      <c r="H156" s="9"/>
      <c r="I156" s="14">
        <v>3</v>
      </c>
      <c r="J156" s="9" t="s">
        <v>266</v>
      </c>
      <c r="K156" s="9"/>
      <c r="L156" s="10"/>
      <c r="M156" s="9"/>
      <c r="N156" s="76" t="s">
        <v>142</v>
      </c>
      <c r="O156" s="12" t="s">
        <v>144</v>
      </c>
      <c r="P156" s="83"/>
      <c r="Q156" s="16" t="s">
        <v>31</v>
      </c>
      <c r="R156" s="16" t="s">
        <v>31</v>
      </c>
      <c r="S156" s="16" t="s">
        <v>31</v>
      </c>
    </row>
    <row r="157" spans="1:19" s="23" customFormat="1" ht="15" x14ac:dyDescent="0.25">
      <c r="A157" s="9"/>
      <c r="B157" s="9" t="s">
        <v>267</v>
      </c>
      <c r="C157" s="9" t="s">
        <v>63</v>
      </c>
      <c r="D157" s="9"/>
      <c r="E157" s="9"/>
      <c r="F157" s="9"/>
      <c r="G157" s="9" t="s">
        <v>31</v>
      </c>
      <c r="H157" s="9"/>
      <c r="I157" s="14">
        <v>4</v>
      </c>
      <c r="J157" s="9" t="s">
        <v>268</v>
      </c>
      <c r="K157" s="9"/>
      <c r="L157" s="10"/>
      <c r="M157" s="9"/>
      <c r="N157" s="76" t="s">
        <v>142</v>
      </c>
      <c r="O157" s="12" t="s">
        <v>144</v>
      </c>
      <c r="P157" s="83"/>
      <c r="Q157" s="16" t="s">
        <v>31</v>
      </c>
      <c r="R157" s="16" t="s">
        <v>31</v>
      </c>
      <c r="S157" s="16" t="s">
        <v>31</v>
      </c>
    </row>
    <row r="158" spans="1:19" s="23" customFormat="1" ht="15" x14ac:dyDescent="0.25">
      <c r="A158" s="9"/>
      <c r="B158" s="9" t="s">
        <v>269</v>
      </c>
      <c r="C158" s="9" t="s">
        <v>58</v>
      </c>
      <c r="D158" s="9"/>
      <c r="E158" s="9"/>
      <c r="F158" s="9"/>
      <c r="G158" s="9" t="s">
        <v>31</v>
      </c>
      <c r="H158" s="9"/>
      <c r="I158" s="14">
        <v>2</v>
      </c>
      <c r="J158" s="9"/>
      <c r="K158" s="9"/>
      <c r="L158" s="10"/>
      <c r="M158" s="9"/>
      <c r="N158" s="76" t="s">
        <v>66</v>
      </c>
      <c r="O158" s="12" t="s">
        <v>144</v>
      </c>
      <c r="P158" s="83"/>
      <c r="Q158" s="16" t="s">
        <v>31</v>
      </c>
      <c r="R158" s="16" t="s">
        <v>31</v>
      </c>
      <c r="S158" s="16" t="s">
        <v>31</v>
      </c>
    </row>
    <row r="159" spans="1:19" s="23" customFormat="1" ht="15" x14ac:dyDescent="0.25">
      <c r="A159" s="9"/>
      <c r="B159" s="9" t="s">
        <v>270</v>
      </c>
      <c r="C159" s="9" t="s">
        <v>63</v>
      </c>
      <c r="D159" s="9"/>
      <c r="E159" s="9"/>
      <c r="F159" s="9"/>
      <c r="G159" s="9" t="s">
        <v>31</v>
      </c>
      <c r="H159" s="9"/>
      <c r="I159" s="14">
        <v>3</v>
      </c>
      <c r="J159" s="9"/>
      <c r="K159" s="9"/>
      <c r="L159" s="10"/>
      <c r="M159" s="9"/>
      <c r="N159" s="76" t="s">
        <v>142</v>
      </c>
      <c r="O159" s="12" t="s">
        <v>144</v>
      </c>
      <c r="P159" s="83"/>
      <c r="Q159" s="16" t="s">
        <v>31</v>
      </c>
      <c r="R159" s="16" t="s">
        <v>31</v>
      </c>
      <c r="S159" s="16" t="s">
        <v>31</v>
      </c>
    </row>
    <row r="160" spans="1:19" s="23" customFormat="1" ht="15" x14ac:dyDescent="0.25">
      <c r="A160" s="9"/>
      <c r="B160" s="9" t="s">
        <v>271</v>
      </c>
      <c r="C160" s="9" t="s">
        <v>63</v>
      </c>
      <c r="D160" s="9"/>
      <c r="E160" s="9"/>
      <c r="F160" s="9"/>
      <c r="G160" s="9" t="s">
        <v>31</v>
      </c>
      <c r="H160" s="9"/>
      <c r="I160" s="14">
        <v>3</v>
      </c>
      <c r="J160" s="9" t="s">
        <v>272</v>
      </c>
      <c r="K160" s="9"/>
      <c r="L160" s="10"/>
      <c r="M160" s="9"/>
      <c r="N160" s="76" t="s">
        <v>142</v>
      </c>
      <c r="O160" s="12" t="s">
        <v>144</v>
      </c>
      <c r="P160" s="83"/>
      <c r="Q160" s="16" t="s">
        <v>31</v>
      </c>
      <c r="R160" s="16" t="s">
        <v>31</v>
      </c>
      <c r="S160" s="16" t="s">
        <v>31</v>
      </c>
    </row>
    <row r="161" spans="1:19" s="23" customFormat="1" ht="15" x14ac:dyDescent="0.25">
      <c r="A161" s="9"/>
      <c r="B161" s="9" t="s">
        <v>273</v>
      </c>
      <c r="C161" s="9" t="s">
        <v>39</v>
      </c>
      <c r="D161" s="9" t="s">
        <v>40</v>
      </c>
      <c r="E161" s="9" t="s">
        <v>40</v>
      </c>
      <c r="F161" s="9" t="s">
        <v>40</v>
      </c>
      <c r="G161" s="6" t="s">
        <v>374</v>
      </c>
      <c r="H161" s="9"/>
      <c r="I161" s="14">
        <v>1</v>
      </c>
      <c r="J161" s="9"/>
      <c r="K161" s="9"/>
      <c r="L161" s="10">
        <v>42163</v>
      </c>
      <c r="M161" s="9"/>
      <c r="N161" s="76" t="s">
        <v>64</v>
      </c>
      <c r="O161" s="12" t="s">
        <v>144</v>
      </c>
      <c r="P161" s="82">
        <v>134.05000000000001</v>
      </c>
      <c r="Q161" s="9"/>
      <c r="R161" s="9"/>
      <c r="S161" s="9"/>
    </row>
    <row r="162" spans="1:19" s="23" customFormat="1" ht="15" x14ac:dyDescent="0.25">
      <c r="A162" s="9"/>
      <c r="B162" s="9" t="s">
        <v>276</v>
      </c>
      <c r="C162" s="15" t="s">
        <v>63</v>
      </c>
      <c r="D162" s="9"/>
      <c r="E162" s="9"/>
      <c r="F162" s="9"/>
      <c r="G162" s="9" t="s">
        <v>31</v>
      </c>
      <c r="H162" s="9"/>
      <c r="I162" s="14">
        <v>3</v>
      </c>
      <c r="J162" s="9"/>
      <c r="K162" s="9"/>
      <c r="L162" s="10"/>
      <c r="M162" s="9"/>
      <c r="N162" s="76" t="s">
        <v>85</v>
      </c>
      <c r="O162" s="12" t="s">
        <v>144</v>
      </c>
      <c r="P162" s="82"/>
      <c r="Q162" s="9"/>
      <c r="R162" s="9"/>
      <c r="S162" s="9"/>
    </row>
    <row r="163" spans="1:19" s="23" customFormat="1" ht="15" x14ac:dyDescent="0.25">
      <c r="A163" s="9"/>
      <c r="B163" s="9" t="s">
        <v>277</v>
      </c>
      <c r="C163" s="9" t="s">
        <v>58</v>
      </c>
      <c r="D163" s="9" t="s">
        <v>40</v>
      </c>
      <c r="E163" s="9" t="s">
        <v>40</v>
      </c>
      <c r="F163" s="9" t="s">
        <v>40</v>
      </c>
      <c r="G163" s="6" t="s">
        <v>372</v>
      </c>
      <c r="H163" s="9"/>
      <c r="I163" s="14">
        <v>4</v>
      </c>
      <c r="J163" s="9"/>
      <c r="K163" s="9"/>
      <c r="L163" s="10">
        <v>42156</v>
      </c>
      <c r="M163" s="9"/>
      <c r="N163" s="76" t="s">
        <v>66</v>
      </c>
      <c r="O163" s="12" t="s">
        <v>144</v>
      </c>
      <c r="P163" s="83"/>
      <c r="Q163" s="16" t="s">
        <v>31</v>
      </c>
      <c r="R163" s="16" t="s">
        <v>31</v>
      </c>
      <c r="S163" s="16" t="s">
        <v>31</v>
      </c>
    </row>
    <row r="164" spans="1:19" s="23" customFormat="1" ht="15" x14ac:dyDescent="0.25">
      <c r="A164" s="9"/>
      <c r="B164" s="9" t="s">
        <v>279</v>
      </c>
      <c r="C164" s="9" t="s">
        <v>58</v>
      </c>
      <c r="D164" s="9"/>
      <c r="E164" s="9"/>
      <c r="F164" s="9"/>
      <c r="G164" s="9" t="s">
        <v>31</v>
      </c>
      <c r="H164" s="9"/>
      <c r="I164" s="14">
        <v>3</v>
      </c>
      <c r="J164" s="9"/>
      <c r="K164" s="9"/>
      <c r="L164" s="10"/>
      <c r="M164" s="9"/>
      <c r="N164" s="76" t="s">
        <v>66</v>
      </c>
      <c r="O164" s="12" t="s">
        <v>144</v>
      </c>
      <c r="P164" s="83"/>
      <c r="Q164" s="16" t="s">
        <v>31</v>
      </c>
      <c r="R164" s="16" t="s">
        <v>31</v>
      </c>
      <c r="S164" s="16" t="s">
        <v>31</v>
      </c>
    </row>
    <row r="165" spans="1:19" s="23" customFormat="1" ht="15" x14ac:dyDescent="0.25">
      <c r="A165" s="9"/>
      <c r="B165" s="9" t="s">
        <v>278</v>
      </c>
      <c r="C165" s="15" t="s">
        <v>39</v>
      </c>
      <c r="D165" s="9"/>
      <c r="E165" s="9"/>
      <c r="F165" s="9"/>
      <c r="G165" s="6" t="s">
        <v>381</v>
      </c>
      <c r="H165" s="9"/>
      <c r="I165" s="14">
        <v>3</v>
      </c>
      <c r="J165" s="9"/>
      <c r="K165" s="9"/>
      <c r="L165" s="10">
        <v>42163</v>
      </c>
      <c r="M165" s="9"/>
      <c r="N165" s="76" t="s">
        <v>64</v>
      </c>
      <c r="O165" s="12">
        <v>509.77</v>
      </c>
      <c r="P165" s="82"/>
      <c r="Q165" s="9" t="s">
        <v>51</v>
      </c>
      <c r="R165" s="9" t="s">
        <v>40</v>
      </c>
      <c r="S165" s="9" t="s">
        <v>55</v>
      </c>
    </row>
    <row r="166" spans="1:19" s="23" customFormat="1" ht="15" x14ac:dyDescent="0.25">
      <c r="A166" s="9"/>
      <c r="B166" s="9" t="s">
        <v>280</v>
      </c>
      <c r="C166" s="9" t="s">
        <v>58</v>
      </c>
      <c r="D166" s="9"/>
      <c r="E166" s="9"/>
      <c r="F166" s="9"/>
      <c r="G166" s="9" t="s">
        <v>31</v>
      </c>
      <c r="H166" s="9"/>
      <c r="I166" s="14">
        <v>3</v>
      </c>
      <c r="J166" s="9"/>
      <c r="K166" s="9"/>
      <c r="L166" s="10">
        <v>42159</v>
      </c>
      <c r="M166" s="9"/>
      <c r="N166" s="76" t="s">
        <v>66</v>
      </c>
      <c r="O166" s="12" t="s">
        <v>144</v>
      </c>
      <c r="P166" s="83"/>
      <c r="Q166" s="16" t="s">
        <v>31</v>
      </c>
      <c r="R166" s="16" t="s">
        <v>31</v>
      </c>
      <c r="S166" s="16" t="s">
        <v>31</v>
      </c>
    </row>
    <row r="167" spans="1:19" s="23" customFormat="1" ht="15" x14ac:dyDescent="0.25">
      <c r="A167" s="9"/>
      <c r="B167" s="9" t="s">
        <v>260</v>
      </c>
      <c r="C167" s="9" t="s">
        <v>39</v>
      </c>
      <c r="D167" s="9" t="s">
        <v>144</v>
      </c>
      <c r="E167" s="9" t="s">
        <v>144</v>
      </c>
      <c r="F167" s="9" t="s">
        <v>192</v>
      </c>
      <c r="G167" s="6" t="s">
        <v>381</v>
      </c>
      <c r="H167" s="9"/>
      <c r="I167" s="14">
        <v>4</v>
      </c>
      <c r="J167" s="9"/>
      <c r="K167" s="9"/>
      <c r="L167" s="10"/>
      <c r="M167" s="9"/>
      <c r="N167" s="76" t="s">
        <v>64</v>
      </c>
      <c r="O167" s="12" t="s">
        <v>144</v>
      </c>
      <c r="P167" s="82">
        <v>472.5</v>
      </c>
      <c r="Q167" s="9" t="s">
        <v>51</v>
      </c>
      <c r="R167" s="9" t="s">
        <v>40</v>
      </c>
      <c r="S167" s="9" t="s">
        <v>144</v>
      </c>
    </row>
    <row r="168" spans="1:19" s="23" customFormat="1" x14ac:dyDescent="0.3">
      <c r="A168" s="9"/>
      <c r="B168" s="9" t="s">
        <v>274</v>
      </c>
      <c r="C168" s="9" t="s">
        <v>39</v>
      </c>
      <c r="D168" s="9" t="s">
        <v>40</v>
      </c>
      <c r="E168" s="9" t="s">
        <v>40</v>
      </c>
      <c r="F168" s="9" t="s">
        <v>40</v>
      </c>
      <c r="G168" s="6" t="s">
        <v>374</v>
      </c>
      <c r="H168" s="9"/>
      <c r="I168" s="14">
        <v>1</v>
      </c>
      <c r="J168" s="9"/>
      <c r="K168" s="9"/>
      <c r="L168" s="10">
        <v>42158</v>
      </c>
      <c r="M168" s="9"/>
      <c r="N168" s="76" t="s">
        <v>65</v>
      </c>
      <c r="O168" s="12" t="s">
        <v>144</v>
      </c>
      <c r="P168" s="82"/>
      <c r="Q168" s="9"/>
      <c r="R168" s="9"/>
      <c r="S168" s="9"/>
    </row>
    <row r="169" spans="1:19" s="23" customFormat="1" x14ac:dyDescent="0.3">
      <c r="A169" s="9"/>
      <c r="B169" s="9" t="s">
        <v>275</v>
      </c>
      <c r="C169" s="9" t="s">
        <v>39</v>
      </c>
      <c r="D169" s="9"/>
      <c r="E169" s="9"/>
      <c r="F169" s="9"/>
      <c r="G169" s="6" t="s">
        <v>383</v>
      </c>
      <c r="H169" s="9"/>
      <c r="I169" s="14">
        <v>5</v>
      </c>
      <c r="J169" s="9"/>
      <c r="K169" s="9"/>
      <c r="L169" s="10">
        <v>42153</v>
      </c>
      <c r="M169" s="9"/>
      <c r="N169" s="76" t="s">
        <v>64</v>
      </c>
      <c r="O169" s="12" t="s">
        <v>144</v>
      </c>
      <c r="P169" s="82">
        <v>3810.98</v>
      </c>
      <c r="Q169" s="9" t="s">
        <v>40</v>
      </c>
      <c r="R169" s="9" t="s">
        <v>144</v>
      </c>
      <c r="S169" s="9" t="s">
        <v>144</v>
      </c>
    </row>
    <row r="170" spans="1:19" x14ac:dyDescent="0.3">
      <c r="A170" s="22"/>
      <c r="B170" s="22"/>
      <c r="D170" s="22"/>
      <c r="E170" s="22"/>
      <c r="F170" s="22"/>
      <c r="G170" s="22"/>
      <c r="H170" s="22"/>
      <c r="I170" s="71"/>
      <c r="J170" s="22"/>
      <c r="K170" s="22"/>
      <c r="L170" s="72"/>
      <c r="M170" s="22"/>
      <c r="N170" s="22"/>
      <c r="O170" s="24"/>
      <c r="P170" s="24"/>
      <c r="Q170" s="22"/>
      <c r="R170" s="22"/>
      <c r="S170" s="22"/>
    </row>
    <row r="171" spans="1:19" x14ac:dyDescent="0.3">
      <c r="G171" s="22"/>
    </row>
    <row r="172" spans="1:19" x14ac:dyDescent="0.3">
      <c r="G172" s="22"/>
      <c r="O172" s="73"/>
    </row>
    <row r="173" spans="1:19" x14ac:dyDescent="0.3">
      <c r="G173" s="22"/>
      <c r="O173" s="73"/>
    </row>
    <row r="174" spans="1:19" x14ac:dyDescent="0.3">
      <c r="G174" s="22"/>
    </row>
    <row r="175" spans="1:19" x14ac:dyDescent="0.3">
      <c r="G175" s="22"/>
    </row>
  </sheetData>
  <autoFilter ref="A1:S169">
    <sortState ref="A5:V166">
      <sortCondition ref="B2:B169"/>
    </sortState>
  </autoFilter>
  <sortState ref="A1:Y176">
    <sortCondition ref="B1:B176"/>
  </sortState>
  <customSheetViews>
    <customSheetView guid="{BAD45175-89D5-44B0-AF3C-277DABED32D2}">
      <pane ySplit="1" topLeftCell="A20" activePane="bottomLeft" state="frozen"/>
      <selection pane="bottomLeft" activeCell="I72" sqref="I72"/>
      <pageMargins left="0.7" right="0.7" top="0.75" bottom="0.75" header="0.3" footer="0.3"/>
      <pageSetup orientation="portrait" r:id="rId1"/>
    </customSheetView>
    <customSheetView guid="{C8026B79-4C4A-436C-A980-AE22782A4F5F}" hiddenColumns="1">
      <pane ySplit="1" topLeftCell="A101" activePane="bottomLeft" state="frozen"/>
      <selection pane="bottomLeft" activeCell="U111" sqref="U111"/>
      <pageMargins left="0.7" right="0.7" top="0.75" bottom="0.75" header="0.3" footer="0.3"/>
      <pageSetup orientation="portrait" r:id="rId2"/>
    </customSheetView>
  </customSheetViews>
  <conditionalFormatting sqref="C14">
    <cfRule type="containsText" dxfId="65" priority="101" operator="containsText" text="&quot;D&quot;">
      <formula>NOT(ISERROR(SEARCH("""D""",C14)))</formula>
    </cfRule>
  </conditionalFormatting>
  <conditionalFormatting sqref="B92:C92 C2:C91 C93:C136 C138:C1048576">
    <cfRule type="containsText" dxfId="64" priority="97" operator="containsText" text="A">
      <formula>NOT(ISERROR(SEARCH("A",B2)))</formula>
    </cfRule>
    <cfRule type="containsText" dxfId="63" priority="98" operator="containsText" text="W">
      <formula>NOT(ISERROR(SEARCH("W",B2)))</formula>
    </cfRule>
    <cfRule type="containsText" dxfId="62" priority="99" operator="containsText" text="D">
      <formula>NOT(ISERROR(SEARCH("D",B2)))</formula>
    </cfRule>
    <cfRule type="cellIs" dxfId="61" priority="100" operator="equal">
      <formula>"""D"""</formula>
    </cfRule>
  </conditionalFormatting>
  <conditionalFormatting sqref="N1 N26:N30 N38 L82 N40:N136 N4:N24 N138:N1048576">
    <cfRule type="containsText" dxfId="60" priority="90" operator="containsText" text="Cont">
      <formula>NOT(ISERROR(SEARCH("Cont",L1)))</formula>
    </cfRule>
    <cfRule type="cellIs" dxfId="59" priority="91" operator="equal">
      <formula>"Successful"</formula>
    </cfRule>
    <cfRule type="containsText" dxfId="58" priority="92" operator="containsText" text="Withdrawn">
      <formula>NOT(ISERROR(SEARCH("Withdrawn",L1)))</formula>
    </cfRule>
    <cfRule type="containsText" dxfId="57" priority="93" operator="containsText" text="Unsuccessful">
      <formula>NOT(ISERROR(SEARCH("Unsuccessful",L1)))</formula>
    </cfRule>
    <cfRule type="containsText" dxfId="56" priority="94" operator="containsText" text="Unsucessful">
      <formula>NOT(ISERROR(SEARCH("Unsucessful",L1)))</formula>
    </cfRule>
    <cfRule type="containsText" dxfId="55" priority="95" operator="containsText" text="Denied">
      <formula>NOT(ISERROR(SEARCH("Denied",L1)))</formula>
    </cfRule>
  </conditionalFormatting>
  <conditionalFormatting sqref="C31:C37">
    <cfRule type="containsText" dxfId="54" priority="64" operator="containsText" text="A">
      <formula>NOT(ISERROR(SEARCH("A",C31)))</formula>
    </cfRule>
    <cfRule type="containsText" dxfId="53" priority="65" operator="containsText" text="W">
      <formula>NOT(ISERROR(SEARCH("W",C31)))</formula>
    </cfRule>
    <cfRule type="containsText" dxfId="52" priority="66" operator="containsText" text="D">
      <formula>NOT(ISERROR(SEARCH("D",C31)))</formula>
    </cfRule>
    <cfRule type="cellIs" dxfId="51" priority="67" operator="equal">
      <formula>"""D"""</formula>
    </cfRule>
  </conditionalFormatting>
  <conditionalFormatting sqref="N31:N37">
    <cfRule type="containsText" dxfId="50" priority="58" operator="containsText" text="Cont">
      <formula>NOT(ISERROR(SEARCH("Cont",N31)))</formula>
    </cfRule>
    <cfRule type="cellIs" dxfId="49" priority="59" operator="equal">
      <formula>"Successful"</formula>
    </cfRule>
    <cfRule type="containsText" dxfId="48" priority="60" operator="containsText" text="Withdrawn">
      <formula>NOT(ISERROR(SEARCH("Withdrawn",N31)))</formula>
    </cfRule>
    <cfRule type="containsText" dxfId="47" priority="61" operator="containsText" text="Unsuccessful">
      <formula>NOT(ISERROR(SEARCH("Unsuccessful",N31)))</formula>
    </cfRule>
    <cfRule type="containsText" dxfId="46" priority="62" operator="containsText" text="Unsucessful">
      <formula>NOT(ISERROR(SEARCH("Unsucessful",N31)))</formula>
    </cfRule>
    <cfRule type="containsText" dxfId="45" priority="63" operator="containsText" text="Denied">
      <formula>NOT(ISERROR(SEARCH("Denied",N31)))</formula>
    </cfRule>
  </conditionalFormatting>
  <conditionalFormatting sqref="C3">
    <cfRule type="containsText" dxfId="44" priority="46" operator="containsText" text="A">
      <formula>NOT(ISERROR(SEARCH("A",C3)))</formula>
    </cfRule>
    <cfRule type="containsText" dxfId="43" priority="47" operator="containsText" text="W">
      <formula>NOT(ISERROR(SEARCH("W",C3)))</formula>
    </cfRule>
    <cfRule type="containsText" dxfId="42" priority="48" operator="containsText" text="D">
      <formula>NOT(ISERROR(SEARCH("D",C3)))</formula>
    </cfRule>
    <cfRule type="cellIs" dxfId="41" priority="49" operator="equal">
      <formula>"""D"""</formula>
    </cfRule>
  </conditionalFormatting>
  <conditionalFormatting sqref="N3">
    <cfRule type="containsText" dxfId="40" priority="40" operator="containsText" text="Cont">
      <formula>NOT(ISERROR(SEARCH("Cont",N3)))</formula>
    </cfRule>
    <cfRule type="cellIs" dxfId="39" priority="41" operator="equal">
      <formula>"Successful"</formula>
    </cfRule>
    <cfRule type="containsText" dxfId="38" priority="42" operator="containsText" text="Withdrawn">
      <formula>NOT(ISERROR(SEARCH("Withdrawn",N3)))</formula>
    </cfRule>
    <cfRule type="containsText" dxfId="37" priority="43" operator="containsText" text="Unsuccessful">
      <formula>NOT(ISERROR(SEARCH("Unsuccessful",N3)))</formula>
    </cfRule>
    <cfRule type="containsText" dxfId="36" priority="44" operator="containsText" text="Unsucessful">
      <formula>NOT(ISERROR(SEARCH("Unsucessful",N3)))</formula>
    </cfRule>
    <cfRule type="containsText" dxfId="35" priority="45" operator="containsText" text="Denied">
      <formula>NOT(ISERROR(SEARCH("Denied",N3)))</formula>
    </cfRule>
  </conditionalFormatting>
  <conditionalFormatting sqref="C2">
    <cfRule type="containsText" dxfId="34" priority="32" operator="containsText" text="A">
      <formula>NOT(ISERROR(SEARCH("A",C2)))</formula>
    </cfRule>
    <cfRule type="containsText" dxfId="33" priority="33" operator="containsText" text="W">
      <formula>NOT(ISERROR(SEARCH("W",C2)))</formula>
    </cfRule>
    <cfRule type="containsText" dxfId="32" priority="34" operator="containsText" text="D">
      <formula>NOT(ISERROR(SEARCH("D",C2)))</formula>
    </cfRule>
    <cfRule type="cellIs" dxfId="31" priority="35" operator="equal">
      <formula>"""D"""</formula>
    </cfRule>
  </conditionalFormatting>
  <conditionalFormatting sqref="N2">
    <cfRule type="containsText" dxfId="30" priority="26" operator="containsText" text="Cont">
      <formula>NOT(ISERROR(SEARCH("Cont",N2)))</formula>
    </cfRule>
    <cfRule type="cellIs" dxfId="29" priority="27" operator="equal">
      <formula>"Successful"</formula>
    </cfRule>
    <cfRule type="containsText" dxfId="28" priority="28" operator="containsText" text="Withdrawn">
      <formula>NOT(ISERROR(SEARCH("Withdrawn",N2)))</formula>
    </cfRule>
    <cfRule type="containsText" dxfId="27" priority="29" operator="containsText" text="Unsuccessful">
      <formula>NOT(ISERROR(SEARCH("Unsuccessful",N2)))</formula>
    </cfRule>
    <cfRule type="containsText" dxfId="26" priority="30" operator="containsText" text="Unsucessful">
      <formula>NOT(ISERROR(SEARCH("Unsucessful",N2)))</formula>
    </cfRule>
    <cfRule type="containsText" dxfId="25" priority="31" operator="containsText" text="Denied">
      <formula>NOT(ISERROR(SEARCH("Denied",N2)))</formula>
    </cfRule>
  </conditionalFormatting>
  <conditionalFormatting sqref="B92:C92 C2:C91 C93:C136 C138:C1048576">
    <cfRule type="cellIs" dxfId="24" priority="25" operator="equal">
      <formula>"P"</formula>
    </cfRule>
  </conditionalFormatting>
  <conditionalFormatting sqref="N25">
    <cfRule type="containsText" dxfId="23" priority="19" operator="containsText" text="Cont">
      <formula>NOT(ISERROR(SEARCH("Cont",N25)))</formula>
    </cfRule>
    <cfRule type="cellIs" dxfId="22" priority="20" operator="equal">
      <formula>"Successful"</formula>
    </cfRule>
    <cfRule type="containsText" dxfId="21" priority="21" operator="containsText" text="Withdrawn">
      <formula>NOT(ISERROR(SEARCH("Withdrawn",N25)))</formula>
    </cfRule>
    <cfRule type="containsText" dxfId="20" priority="22" operator="containsText" text="Unsuccessful">
      <formula>NOT(ISERROR(SEARCH("Unsuccessful",N25)))</formula>
    </cfRule>
    <cfRule type="containsText" dxfId="19" priority="23" operator="containsText" text="Unsucessful">
      <formula>NOT(ISERROR(SEARCH("Unsucessful",N25)))</formula>
    </cfRule>
    <cfRule type="containsText" dxfId="18" priority="24" operator="containsText" text="Denied">
      <formula>NOT(ISERROR(SEARCH("Denied",N25)))</formula>
    </cfRule>
  </conditionalFormatting>
  <conditionalFormatting sqref="N39">
    <cfRule type="containsText" dxfId="17" priority="13" operator="containsText" text="Cont">
      <formula>NOT(ISERROR(SEARCH("Cont",N39)))</formula>
    </cfRule>
    <cfRule type="cellIs" dxfId="16" priority="14" operator="equal">
      <formula>"Successful"</formula>
    </cfRule>
    <cfRule type="containsText" dxfId="15" priority="15" operator="containsText" text="Withdrawn">
      <formula>NOT(ISERROR(SEARCH("Withdrawn",N39)))</formula>
    </cfRule>
    <cfRule type="containsText" dxfId="14" priority="16" operator="containsText" text="Unsuccessful">
      <formula>NOT(ISERROR(SEARCH("Unsuccessful",N39)))</formula>
    </cfRule>
    <cfRule type="containsText" dxfId="13" priority="17" operator="containsText" text="Unsucessful">
      <formula>NOT(ISERROR(SEARCH("Unsucessful",N39)))</formula>
    </cfRule>
    <cfRule type="containsText" dxfId="12" priority="18" operator="containsText" text="Denied">
      <formula>NOT(ISERROR(SEARCH("Denied",N39)))</formula>
    </cfRule>
  </conditionalFormatting>
  <conditionalFormatting sqref="C137">
    <cfRule type="containsText" dxfId="11" priority="9" operator="containsText" text="A">
      <formula>NOT(ISERROR(SEARCH("A",C137)))</formula>
    </cfRule>
    <cfRule type="containsText" dxfId="10" priority="10" operator="containsText" text="W">
      <formula>NOT(ISERROR(SEARCH("W",C137)))</formula>
    </cfRule>
    <cfRule type="containsText" dxfId="9" priority="11" operator="containsText" text="D">
      <formula>NOT(ISERROR(SEARCH("D",C137)))</formula>
    </cfRule>
    <cfRule type="cellIs" dxfId="8" priority="12" operator="equal">
      <formula>"""D"""</formula>
    </cfRule>
  </conditionalFormatting>
  <conditionalFormatting sqref="C137">
    <cfRule type="cellIs" dxfId="7" priority="8" operator="equal">
      <formula>"P"</formula>
    </cfRule>
  </conditionalFormatting>
  <conditionalFormatting sqref="N1:N1048576">
    <cfRule type="cellIs" dxfId="6" priority="7" operator="equal">
      <formula>pending</formula>
    </cfRule>
  </conditionalFormatting>
  <conditionalFormatting sqref="N137">
    <cfRule type="containsText" dxfId="5" priority="1" operator="containsText" text="Cont">
      <formula>NOT(ISERROR(SEARCH("Cont",N137)))</formula>
    </cfRule>
    <cfRule type="cellIs" dxfId="4" priority="2" operator="equal">
      <formula>"Successful"</formula>
    </cfRule>
    <cfRule type="containsText" dxfId="3" priority="3" operator="containsText" text="Withdrawn">
      <formula>NOT(ISERROR(SEARCH("Withdrawn",N137)))</formula>
    </cfRule>
    <cfRule type="containsText" dxfId="2" priority="4" operator="containsText" text="Unsuccessful">
      <formula>NOT(ISERROR(SEARCH("Unsuccessful",N137)))</formula>
    </cfRule>
    <cfRule type="containsText" dxfId="1" priority="5" operator="containsText" text="Unsucessful">
      <formula>NOT(ISERROR(SEARCH("Unsucessful",N137)))</formula>
    </cfRule>
    <cfRule type="containsText" dxfId="0" priority="6" operator="containsText" text="Denied">
      <formula>NOT(ISERROR(SEARCH("Denied",N137)))</formula>
    </cfRule>
  </conditionalFormatting>
  <pageMargins left="0.7" right="0.7" top="0.75" bottom="0.75" header="0.3" footer="0.3"/>
  <pageSetup scale="62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27" sqref="H27"/>
    </sheetView>
  </sheetViews>
  <sheetFormatPr defaultRowHeight="14.4" x14ac:dyDescent="0.3"/>
  <cols>
    <col min="1" max="1" width="30.109375" bestFit="1" customWidth="1"/>
    <col min="2" max="2" width="15.44140625" customWidth="1"/>
    <col min="3" max="3" width="3.88671875" customWidth="1"/>
    <col min="4" max="4" width="19.5546875" bestFit="1" customWidth="1"/>
    <col min="6" max="6" width="3.6640625" customWidth="1"/>
    <col min="7" max="7" width="18.6640625" bestFit="1" customWidth="1"/>
    <col min="9" max="9" width="3.5546875" customWidth="1"/>
    <col min="10" max="10" width="25" customWidth="1"/>
    <col min="11" max="11" width="10.5546875" bestFit="1" customWidth="1"/>
  </cols>
  <sheetData>
    <row r="1" spans="1:11" ht="15.75" thickBot="1" x14ac:dyDescent="0.3">
      <c r="A1" s="87" t="s">
        <v>341</v>
      </c>
      <c r="B1" s="88">
        <f>SUM(Summ.!$O$4:$P$300)</f>
        <v>104629.51000000001</v>
      </c>
      <c r="D1" s="53" t="s">
        <v>299</v>
      </c>
      <c r="E1" s="54"/>
      <c r="G1" s="194" t="s">
        <v>316</v>
      </c>
      <c r="H1" s="195"/>
      <c r="J1" s="196" t="s">
        <v>301</v>
      </c>
      <c r="K1" s="197"/>
    </row>
    <row r="2" spans="1:11" ht="15" x14ac:dyDescent="0.25">
      <c r="A2" s="36" t="s">
        <v>344</v>
      </c>
      <c r="B2" s="37">
        <f>SUM(Summ.!$O$4:$O$300)</f>
        <v>93539.76</v>
      </c>
      <c r="D2" s="55" t="s">
        <v>334</v>
      </c>
      <c r="E2" s="94">
        <f>COUNTIF(Summ.!$B$2:$B$300, "*F-14*")</f>
        <v>69</v>
      </c>
      <c r="G2" s="69" t="s">
        <v>368</v>
      </c>
      <c r="H2" s="95">
        <f>COUNTIF(Summ.!$G$1:$H$300,"BH")</f>
        <v>5</v>
      </c>
      <c r="J2" s="68" t="s">
        <v>307</v>
      </c>
      <c r="K2" s="97">
        <f>COUNTIF(Summ.!$I$2:$I$300,1)</f>
        <v>19</v>
      </c>
    </row>
    <row r="3" spans="1:11" ht="15" x14ac:dyDescent="0.25">
      <c r="A3" s="38" t="s">
        <v>343</v>
      </c>
      <c r="B3" s="39">
        <f>COUNT(Summ.!$O$2:$O$300)</f>
        <v>118</v>
      </c>
      <c r="D3" s="57" t="s">
        <v>345</v>
      </c>
      <c r="E3" s="92">
        <f>COUNTIF(Summ.!$B$2:$B$300, "*F-15*")</f>
        <v>96</v>
      </c>
      <c r="G3" s="35" t="s">
        <v>369</v>
      </c>
      <c r="H3" s="96">
        <f>COUNTIF(Summ.!$G$1:$H$300,"BB")</f>
        <v>7</v>
      </c>
      <c r="J3" s="47" t="s">
        <v>308</v>
      </c>
      <c r="K3" s="98">
        <f>COUNTIF(Summ.!I2:I300,2)</f>
        <v>12</v>
      </c>
    </row>
    <row r="4" spans="1:11" ht="15.75" thickBot="1" x14ac:dyDescent="0.3">
      <c r="A4" s="40" t="s">
        <v>342</v>
      </c>
      <c r="B4" s="41">
        <f>SUM(B2/B3)</f>
        <v>792.70983050847451</v>
      </c>
      <c r="D4" s="58" t="s">
        <v>367</v>
      </c>
      <c r="E4" s="93">
        <f>COUNTIF(Summ.!$B$2:$B$300, "*RS*")</f>
        <v>3</v>
      </c>
      <c r="G4" s="35" t="s">
        <v>370</v>
      </c>
      <c r="H4" s="96">
        <f>COUNTIF(Summ.!$G$1:$H$300,"CT")</f>
        <v>1</v>
      </c>
      <c r="J4" s="47" t="s">
        <v>309</v>
      </c>
      <c r="K4" s="98">
        <f>COUNTIF(Summ.!$I$2:$I$300,3)</f>
        <v>99</v>
      </c>
    </row>
    <row r="5" spans="1:11" ht="15.75" thickBot="1" x14ac:dyDescent="0.3">
      <c r="A5" s="42"/>
      <c r="B5" s="43"/>
      <c r="D5" s="58" t="s">
        <v>365</v>
      </c>
      <c r="E5" s="93">
        <f>SUM(E2:E4)</f>
        <v>168</v>
      </c>
      <c r="G5" s="35" t="s">
        <v>372</v>
      </c>
      <c r="H5" s="96">
        <f>COUNTIF(Summ.!$G$1:$H$300,"CA")</f>
        <v>2</v>
      </c>
      <c r="J5" s="47" t="s">
        <v>310</v>
      </c>
      <c r="K5" s="98">
        <f>COUNTIF(Summ.!$I$2:$I$300,4)</f>
        <v>17</v>
      </c>
    </row>
    <row r="6" spans="1:11" ht="15.75" thickBot="1" x14ac:dyDescent="0.3">
      <c r="A6" s="190" t="s">
        <v>305</v>
      </c>
      <c r="B6" s="191"/>
      <c r="D6" s="59"/>
      <c r="E6" s="60"/>
      <c r="G6" s="35" t="s">
        <v>373</v>
      </c>
      <c r="H6" s="96">
        <f>COUNTIF(Summ.!$G$1:$H$300,"DM")</f>
        <v>5</v>
      </c>
      <c r="J6" s="47" t="s">
        <v>311</v>
      </c>
      <c r="K6" s="98">
        <f>COUNTIF(Summ.!$I$2:$I$300,5)</f>
        <v>8</v>
      </c>
    </row>
    <row r="7" spans="1:11" ht="15.75" thickBot="1" x14ac:dyDescent="0.3">
      <c r="A7" s="44" t="s">
        <v>32</v>
      </c>
      <c r="B7" s="45">
        <f>COUNTA(Summ.!$B$2:$B$300)</f>
        <v>168</v>
      </c>
      <c r="D7" s="61" t="s">
        <v>298</v>
      </c>
      <c r="E7" s="56"/>
      <c r="G7" s="35" t="s">
        <v>374</v>
      </c>
      <c r="H7" s="96">
        <f>COUNTIF(Summ.!$G$1:$H$300,"EL")</f>
        <v>7</v>
      </c>
      <c r="J7" s="47" t="s">
        <v>312</v>
      </c>
      <c r="K7" s="98">
        <f>COUNTIF(Summ.!$I$2:$I$300,6)</f>
        <v>13</v>
      </c>
    </row>
    <row r="8" spans="1:11" ht="15.75" thickBot="1" x14ac:dyDescent="0.3">
      <c r="A8" s="44" t="s">
        <v>282</v>
      </c>
      <c r="B8" s="45">
        <f>COUNTIF(Summ.!$C$1:$C$300, "A")</f>
        <v>127</v>
      </c>
      <c r="D8" s="62" t="s">
        <v>20</v>
      </c>
      <c r="E8" s="90">
        <f>COUNTIF(Summ.!$B$2:$B$300, "*F-14-07*")</f>
        <v>2</v>
      </c>
      <c r="G8" s="35" t="s">
        <v>375</v>
      </c>
      <c r="H8" s="96">
        <f>COUNTIF(Summ.!$G$1:$H$300,"IC")</f>
        <v>16</v>
      </c>
      <c r="J8" s="64" t="s">
        <v>365</v>
      </c>
      <c r="K8" s="99">
        <f>SUM(K2:K7)</f>
        <v>168</v>
      </c>
    </row>
    <row r="9" spans="1:11" ht="15.75" thickBot="1" x14ac:dyDescent="0.3">
      <c r="A9" s="44" t="s">
        <v>36</v>
      </c>
      <c r="B9" s="45">
        <f>COUNTIF(Summ.!$C$1:$C$300, "D")</f>
        <v>14</v>
      </c>
      <c r="D9" s="63" t="s">
        <v>293</v>
      </c>
      <c r="E9" s="91">
        <f>COUNTIF(Summ.!$B$2:$B$300, "*F-14-08*")</f>
        <v>12</v>
      </c>
      <c r="G9" s="35" t="s">
        <v>378</v>
      </c>
      <c r="H9" s="96">
        <f>COUNTIF(Summ.!$G$1:$H$300,"JA")</f>
        <v>3</v>
      </c>
    </row>
    <row r="10" spans="1:11" ht="15.75" thickBot="1" x14ac:dyDescent="0.3">
      <c r="A10" s="44" t="s">
        <v>35</v>
      </c>
      <c r="B10" s="45">
        <f>COUNTIF(Summ.!$C$1:$C$300, "W")</f>
        <v>27</v>
      </c>
      <c r="D10" s="63" t="s">
        <v>288</v>
      </c>
      <c r="E10" s="91">
        <f>COUNTIF(Summ.!$B$2:$B$300, "*F-14-09*")</f>
        <v>21</v>
      </c>
      <c r="G10" s="35" t="s">
        <v>379</v>
      </c>
      <c r="H10" s="96">
        <f>COUNTIF(Summ.!$G$1:$H$300,"LL")</f>
        <v>11</v>
      </c>
      <c r="J10" s="198" t="s">
        <v>362</v>
      </c>
      <c r="K10" s="199"/>
    </row>
    <row r="11" spans="1:11" ht="15.75" thickBot="1" x14ac:dyDescent="0.3">
      <c r="A11" s="46" t="s">
        <v>284</v>
      </c>
      <c r="B11" s="89">
        <f>COUNTIF(Summ.!$C$1:$C$300, "P")</f>
        <v>0</v>
      </c>
      <c r="D11" s="63" t="s">
        <v>289</v>
      </c>
      <c r="E11" s="91">
        <f>COUNTIF(Summ.!$B$2:$B$300, "*F-14-10*")</f>
        <v>16</v>
      </c>
      <c r="G11" s="35" t="s">
        <v>380</v>
      </c>
      <c r="H11" s="96">
        <f>COUNTIF(Summ.!$G$1:$H$300,"LB")</f>
        <v>7</v>
      </c>
      <c r="J11" s="67" t="s">
        <v>313</v>
      </c>
      <c r="K11" s="100">
        <f>COUNTIF(Summ.!$K$1:$K$300,"P")</f>
        <v>69</v>
      </c>
    </row>
    <row r="12" spans="1:11" ht="15.75" thickBot="1" x14ac:dyDescent="0.3">
      <c r="D12" s="63" t="s">
        <v>290</v>
      </c>
      <c r="E12" s="91">
        <f>COUNTIF(Summ.!$B$2:$B$300, "*F-14-11*")</f>
        <v>8</v>
      </c>
      <c r="G12" s="35" t="s">
        <v>381</v>
      </c>
      <c r="H12" s="96">
        <f>COUNTIF(Summ.!$G$1:$H$300,"MB")</f>
        <v>30</v>
      </c>
      <c r="J12" s="65" t="s">
        <v>314</v>
      </c>
      <c r="K12" s="101">
        <f>COUNTIF(Summ.!$K$1:$K$300,"D")</f>
        <v>61</v>
      </c>
    </row>
    <row r="13" spans="1:11" ht="15" x14ac:dyDescent="0.25">
      <c r="A13" s="192" t="s">
        <v>306</v>
      </c>
      <c r="B13" s="193"/>
      <c r="D13" s="63" t="s">
        <v>291</v>
      </c>
      <c r="E13" s="91">
        <f>COUNTIF(Summ.!$B$2:$B$300, "*F-14-12*")</f>
        <v>10</v>
      </c>
      <c r="G13" s="35" t="s">
        <v>383</v>
      </c>
      <c r="H13" s="96">
        <f>COUNTIF(Summ.!$G$1:$H$300,"MH")</f>
        <v>10</v>
      </c>
      <c r="J13" s="65" t="s">
        <v>315</v>
      </c>
      <c r="K13" s="101">
        <f>COUNTIF(Summ.!$K$1:$K$300,"B")</f>
        <v>15</v>
      </c>
    </row>
    <row r="14" spans="1:11" ht="15.75" thickBot="1" x14ac:dyDescent="0.3">
      <c r="A14" s="48" t="s">
        <v>285</v>
      </c>
      <c r="B14" s="50">
        <f>COUNTIF(Summ.!$N$1:$N$300, "Successful")</f>
        <v>116</v>
      </c>
      <c r="D14" s="63" t="s">
        <v>294</v>
      </c>
      <c r="E14" s="91">
        <f>COUNTIF(Summ.!$B$2:$B$300, "*F-15-01*")</f>
        <v>14</v>
      </c>
      <c r="G14" s="35" t="s">
        <v>385</v>
      </c>
      <c r="H14" s="96">
        <f>COUNTIF(Summ.!$G$1:$H$300,"PHP")</f>
        <v>6</v>
      </c>
      <c r="J14" s="66" t="s">
        <v>300</v>
      </c>
      <c r="K14" s="102">
        <f>SUM(K10:K13)</f>
        <v>145</v>
      </c>
    </row>
    <row r="15" spans="1:11" ht="15.75" thickBot="1" x14ac:dyDescent="0.3">
      <c r="A15" s="48" t="s">
        <v>286</v>
      </c>
      <c r="B15" s="50">
        <f>COUNTIF(Summ.!$N$1:$N$300, "Unsuccessful")</f>
        <v>11</v>
      </c>
      <c r="D15" s="63" t="s">
        <v>295</v>
      </c>
      <c r="E15" s="91">
        <f>COUNTIF(Summ.!$B$2:$B$300, "*F-15-02*")</f>
        <v>24</v>
      </c>
      <c r="G15" s="35" t="s">
        <v>387</v>
      </c>
      <c r="H15" s="96">
        <f>COUNTIF(Summ.!$G$1:$H$300,"PF")</f>
        <v>2</v>
      </c>
    </row>
    <row r="16" spans="1:11" ht="15" x14ac:dyDescent="0.25">
      <c r="A16" s="48" t="s">
        <v>287</v>
      </c>
      <c r="B16" s="50">
        <f>COUNTIF(Summ.!$N$2:$N$300,"Pending")</f>
        <v>0</v>
      </c>
      <c r="D16" s="63" t="s">
        <v>296</v>
      </c>
      <c r="E16" s="91">
        <f>COUNTIF(Summ.!$B$2:$B$300, "*F-15-03*")</f>
        <v>15</v>
      </c>
      <c r="G16" s="35" t="s">
        <v>386</v>
      </c>
      <c r="H16" s="96">
        <f>COUNTIF(Summ.!$G$1:$H$300,"PE")</f>
        <v>14</v>
      </c>
      <c r="J16" s="103" t="s">
        <v>328</v>
      </c>
      <c r="K16" s="104">
        <f>MAX(Summ.!O1:O300)</f>
        <v>3014.76</v>
      </c>
    </row>
    <row r="17" spans="1:11" ht="15" x14ac:dyDescent="0.25">
      <c r="A17" s="49" t="s">
        <v>283</v>
      </c>
      <c r="B17" s="50">
        <f>+SUM(B14+B15)</f>
        <v>127</v>
      </c>
      <c r="D17" s="63" t="s">
        <v>292</v>
      </c>
      <c r="E17" s="91">
        <f>COUNTIF(Summ.!$B$2:$B$300, "*F-15-04*")</f>
        <v>21</v>
      </c>
      <c r="G17" s="35" t="s">
        <v>377</v>
      </c>
      <c r="H17" s="96">
        <f>COUNTIF(Summ.!$G$1:$H$300,"RLE")</f>
        <v>10</v>
      </c>
      <c r="J17" s="105" t="s">
        <v>329</v>
      </c>
      <c r="K17" s="106">
        <f>MIN(Summ.!O1:O300)</f>
        <v>211.25</v>
      </c>
    </row>
    <row r="18" spans="1:11" ht="15.75" thickBot="1" x14ac:dyDescent="0.3">
      <c r="A18" s="49" t="s">
        <v>34</v>
      </c>
      <c r="B18" s="50">
        <f>SUM($B$9,$B$10)</f>
        <v>41</v>
      </c>
      <c r="D18" s="63" t="s">
        <v>21</v>
      </c>
      <c r="E18" s="91">
        <f>COUNTIF(Summ.!$B$2:$B$300, "*F-15-05*")</f>
        <v>20</v>
      </c>
      <c r="G18" s="35" t="s">
        <v>376</v>
      </c>
      <c r="H18" s="96">
        <f>COUNTIF(Summ.!$G$1:$H$300,"SH")</f>
        <v>4</v>
      </c>
      <c r="J18" s="188" t="s">
        <v>330</v>
      </c>
      <c r="K18" s="189"/>
    </row>
    <row r="19" spans="1:11" x14ac:dyDescent="0.3">
      <c r="A19" s="49" t="s">
        <v>262</v>
      </c>
      <c r="B19" s="50">
        <f>SUM(B16)</f>
        <v>0</v>
      </c>
      <c r="D19" s="57" t="s">
        <v>22</v>
      </c>
      <c r="E19" s="92">
        <f>COUNTIF(Summ.!$B$2:$B$300, "*F-15-06*")</f>
        <v>2</v>
      </c>
      <c r="G19" s="35" t="s">
        <v>31</v>
      </c>
      <c r="H19" s="96">
        <f>COUNTIF(Summ.!$G$1:$H$300,"N/A")</f>
        <v>32</v>
      </c>
    </row>
    <row r="20" spans="1:11" ht="15" thickBot="1" x14ac:dyDescent="0.35">
      <c r="A20" s="51" t="s">
        <v>33</v>
      </c>
      <c r="B20" s="52">
        <f>SUM(B17,B19)</f>
        <v>127</v>
      </c>
      <c r="D20" s="63" t="s">
        <v>297</v>
      </c>
      <c r="E20" s="91">
        <f>E4</f>
        <v>3</v>
      </c>
    </row>
    <row r="21" spans="1:11" ht="15" thickBot="1" x14ac:dyDescent="0.35">
      <c r="A21" s="48" t="s">
        <v>302</v>
      </c>
      <c r="B21" s="50">
        <f>COUNTIF(Summ.!$N$1:$N$300, "Successful")</f>
        <v>116</v>
      </c>
      <c r="D21" s="58" t="s">
        <v>365</v>
      </c>
      <c r="E21" s="93">
        <f>SUM(E8:E20)</f>
        <v>168</v>
      </c>
    </row>
    <row r="22" spans="1:11" x14ac:dyDescent="0.3">
      <c r="A22" s="48" t="s">
        <v>303</v>
      </c>
      <c r="B22" s="50">
        <f>COUNTIF(Summ.!$N$1:$N$300, "Unsuccessful")</f>
        <v>11</v>
      </c>
    </row>
    <row r="23" spans="1:11" ht="15" thickBot="1" x14ac:dyDescent="0.35">
      <c r="A23" s="51" t="s">
        <v>304</v>
      </c>
      <c r="B23" s="70">
        <f>SUM(B21/(B21+B22))</f>
        <v>0.91338582677165359</v>
      </c>
    </row>
  </sheetData>
  <mergeCells count="6">
    <mergeCell ref="J18:K18"/>
    <mergeCell ref="A6:B6"/>
    <mergeCell ref="A13:B13"/>
    <mergeCell ref="G1:H1"/>
    <mergeCell ref="J1:K1"/>
    <mergeCell ref="J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43"/>
  <sheetViews>
    <sheetView zoomScaleNormal="100" workbookViewId="0">
      <selection activeCell="A5" sqref="A5"/>
    </sheetView>
  </sheetViews>
  <sheetFormatPr defaultRowHeight="14.4" x14ac:dyDescent="0.3"/>
  <cols>
    <col min="1" max="1" width="44.88671875" customWidth="1"/>
    <col min="2" max="2" width="12.33203125" style="1" bestFit="1" customWidth="1"/>
    <col min="3" max="5" width="12.33203125" bestFit="1" customWidth="1"/>
    <col min="7" max="7" width="12.109375" customWidth="1"/>
  </cols>
  <sheetData>
    <row r="1" spans="1:56" s="2" customFormat="1" ht="21.75" thickBot="1" x14ac:dyDescent="0.4">
      <c r="A1" s="141" t="s">
        <v>16</v>
      </c>
      <c r="B1" s="142" t="s">
        <v>19</v>
      </c>
      <c r="C1" s="142" t="s">
        <v>18</v>
      </c>
      <c r="D1" s="143" t="s">
        <v>17</v>
      </c>
      <c r="E1" s="143" t="s">
        <v>317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s="2" customFormat="1" ht="15" x14ac:dyDescent="0.25">
      <c r="A2" s="138" t="s">
        <v>9</v>
      </c>
      <c r="B2" s="139">
        <v>658.9</v>
      </c>
      <c r="C2" s="139">
        <v>702.62</v>
      </c>
      <c r="D2" s="139">
        <v>769.11</v>
      </c>
      <c r="E2" s="140">
        <f>(F!B4)</f>
        <v>792.70983050847451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s="2" customFormat="1" ht="15" x14ac:dyDescent="0.25">
      <c r="A3" s="113" t="s">
        <v>388</v>
      </c>
      <c r="B3" s="114">
        <v>65</v>
      </c>
      <c r="C3" s="114">
        <v>103</v>
      </c>
      <c r="D3" s="114">
        <v>131</v>
      </c>
      <c r="E3" s="5">
        <f>(F!B7)</f>
        <v>168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s="2" customFormat="1" ht="15.75" thickBot="1" x14ac:dyDescent="0.3">
      <c r="A4" s="113" t="s">
        <v>389</v>
      </c>
      <c r="B4" s="114">
        <v>52</v>
      </c>
      <c r="C4" s="114">
        <v>84</v>
      </c>
      <c r="D4" s="114">
        <v>106</v>
      </c>
      <c r="E4" s="5">
        <f>(F!B20)</f>
        <v>127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1:56" s="2" customFormat="1" ht="15" x14ac:dyDescent="0.25">
      <c r="A5" s="118" t="s">
        <v>335</v>
      </c>
      <c r="B5" s="119">
        <v>173.75</v>
      </c>
      <c r="C5" s="119">
        <v>111</v>
      </c>
      <c r="D5" s="119">
        <v>237.25</v>
      </c>
      <c r="E5" s="144">
        <f>(F!K17)</f>
        <v>211.25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s="2" customFormat="1" ht="15.75" thickBot="1" x14ac:dyDescent="0.3">
      <c r="A6" s="121" t="s">
        <v>336</v>
      </c>
      <c r="B6" s="122">
        <v>2121.6</v>
      </c>
      <c r="C6" s="122">
        <v>3462</v>
      </c>
      <c r="D6" s="122">
        <v>2084.1799999999998</v>
      </c>
      <c r="E6" s="145">
        <f>(F!K16)</f>
        <v>3014.76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s="2" customFormat="1" ht="15" x14ac:dyDescent="0.25">
      <c r="A7" s="111" t="s">
        <v>10</v>
      </c>
      <c r="B7" s="115">
        <v>575.35</v>
      </c>
      <c r="C7" s="112">
        <v>819.54</v>
      </c>
      <c r="D7" s="112">
        <v>506.26428571427999</v>
      </c>
      <c r="E7" s="112">
        <v>1056.83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s="2" customFormat="1" ht="15" x14ac:dyDescent="0.25">
      <c r="A8" s="113" t="s">
        <v>12</v>
      </c>
      <c r="B8" s="114">
        <v>27</v>
      </c>
      <c r="C8" s="114">
        <v>29</v>
      </c>
      <c r="D8" s="114">
        <v>15</v>
      </c>
      <c r="E8" s="114">
        <v>21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6" s="2" customFormat="1" ht="15.75" thickBot="1" x14ac:dyDescent="0.3">
      <c r="A9" s="113" t="s">
        <v>13</v>
      </c>
      <c r="B9" s="114">
        <v>17</v>
      </c>
      <c r="C9" s="114">
        <v>16</v>
      </c>
      <c r="D9" s="114">
        <v>10</v>
      </c>
      <c r="E9" s="114">
        <v>14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s="2" customFormat="1" ht="15" x14ac:dyDescent="0.25">
      <c r="A10" s="118" t="s">
        <v>337</v>
      </c>
      <c r="B10" s="119">
        <v>262.5</v>
      </c>
      <c r="C10" s="119">
        <v>281.5</v>
      </c>
      <c r="D10" s="119">
        <v>274.37</v>
      </c>
      <c r="E10" s="120">
        <v>530.27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s="3" customFormat="1" ht="15.75" thickBot="1" x14ac:dyDescent="0.3">
      <c r="A11" s="121" t="s">
        <v>338</v>
      </c>
      <c r="B11" s="122">
        <v>1223.7</v>
      </c>
      <c r="C11" s="122">
        <v>2844.22</v>
      </c>
      <c r="D11" s="122">
        <v>776.7</v>
      </c>
      <c r="E11" s="123">
        <v>1706.07</v>
      </c>
    </row>
    <row r="12" spans="1:56" s="3" customFormat="1" ht="15" x14ac:dyDescent="0.25">
      <c r="A12" s="111" t="s">
        <v>11</v>
      </c>
      <c r="B12" s="112">
        <v>2396.71</v>
      </c>
      <c r="C12" s="112">
        <v>2906.52</v>
      </c>
      <c r="D12" s="112">
        <v>3668.65</v>
      </c>
      <c r="E12" s="112">
        <v>4242.3999999999996</v>
      </c>
    </row>
    <row r="13" spans="1:56" s="3" customFormat="1" ht="15" x14ac:dyDescent="0.25">
      <c r="A13" s="113" t="s">
        <v>14</v>
      </c>
      <c r="B13" s="114">
        <v>21</v>
      </c>
      <c r="C13" s="116">
        <v>27</v>
      </c>
      <c r="D13" s="116">
        <v>25</v>
      </c>
      <c r="E13" s="116">
        <v>25</v>
      </c>
    </row>
    <row r="14" spans="1:56" s="3" customFormat="1" ht="15" customHeight="1" thickBot="1" x14ac:dyDescent="0.3">
      <c r="A14" s="117" t="s">
        <v>15</v>
      </c>
      <c r="B14" s="116">
        <v>13</v>
      </c>
      <c r="C14" s="116">
        <v>20</v>
      </c>
      <c r="D14" s="116">
        <v>18</v>
      </c>
      <c r="E14" s="116">
        <v>21</v>
      </c>
    </row>
    <row r="15" spans="1:56" s="3" customFormat="1" ht="15.75" customHeight="1" x14ac:dyDescent="0.25">
      <c r="A15" s="118" t="s">
        <v>339</v>
      </c>
      <c r="B15" s="119">
        <v>455</v>
      </c>
      <c r="C15" s="119">
        <v>690</v>
      </c>
      <c r="D15" s="119">
        <v>1592.25</v>
      </c>
      <c r="E15" s="120">
        <v>1455</v>
      </c>
    </row>
    <row r="16" spans="1:56" s="3" customFormat="1" ht="15.75" thickBot="1" x14ac:dyDescent="0.3">
      <c r="A16" s="121" t="s">
        <v>340</v>
      </c>
      <c r="B16" s="122">
        <v>5447.95</v>
      </c>
      <c r="C16" s="122">
        <v>6142.62</v>
      </c>
      <c r="D16" s="122">
        <v>9600.16</v>
      </c>
      <c r="E16" s="123">
        <v>15169.98</v>
      </c>
    </row>
    <row r="17" spans="1:5" s="3" customFormat="1" ht="15.75" x14ac:dyDescent="0.25">
      <c r="A17" s="124" t="s">
        <v>326</v>
      </c>
      <c r="B17" s="125">
        <f t="shared" ref="B17:E18" si="0">SUM(B3,B8,B13)</f>
        <v>113</v>
      </c>
      <c r="C17" s="125">
        <f t="shared" si="0"/>
        <v>159</v>
      </c>
      <c r="D17" s="125">
        <f t="shared" si="0"/>
        <v>171</v>
      </c>
      <c r="E17" s="158">
        <f t="shared" si="0"/>
        <v>214</v>
      </c>
    </row>
    <row r="18" spans="1:5" s="3" customFormat="1" ht="16.5" thickBot="1" x14ac:dyDescent="0.3">
      <c r="A18" s="126" t="s">
        <v>325</v>
      </c>
      <c r="B18" s="127">
        <f t="shared" si="0"/>
        <v>82</v>
      </c>
      <c r="C18" s="127">
        <f t="shared" si="0"/>
        <v>120</v>
      </c>
      <c r="D18" s="127">
        <f t="shared" si="0"/>
        <v>134</v>
      </c>
      <c r="E18" s="159">
        <f t="shared" si="0"/>
        <v>162</v>
      </c>
    </row>
    <row r="19" spans="1:5" s="3" customFormat="1" ht="15" thickBot="1" x14ac:dyDescent="0.35">
      <c r="A19" s="108"/>
    </row>
    <row r="20" spans="1:5" s="3" customFormat="1" x14ac:dyDescent="0.3">
      <c r="A20" s="205" t="s">
        <v>322</v>
      </c>
      <c r="B20" s="206"/>
      <c r="C20" s="163" t="s">
        <v>318</v>
      </c>
      <c r="D20" s="128" t="s">
        <v>318</v>
      </c>
      <c r="E20" s="153" t="s">
        <v>318</v>
      </c>
    </row>
    <row r="21" spans="1:5" s="3" customFormat="1" ht="15" thickBot="1" x14ac:dyDescent="0.35">
      <c r="A21" s="207"/>
      <c r="B21" s="208"/>
      <c r="C21" s="164" t="s">
        <v>319</v>
      </c>
      <c r="D21" s="165" t="s">
        <v>320</v>
      </c>
      <c r="E21" s="166" t="s">
        <v>321</v>
      </c>
    </row>
    <row r="22" spans="1:5" s="3" customFormat="1" x14ac:dyDescent="0.3">
      <c r="A22" s="209" t="s">
        <v>9</v>
      </c>
      <c r="B22" s="210"/>
      <c r="C22" s="161">
        <f t="shared" ref="C22:E24" si="1">SUM(C2-B2)/B2</f>
        <v>6.6353012596752206E-2</v>
      </c>
      <c r="D22" s="161">
        <f t="shared" si="1"/>
        <v>9.4631522017591313E-2</v>
      </c>
      <c r="E22" s="162">
        <f t="shared" si="1"/>
        <v>3.068459714276826E-2</v>
      </c>
    </row>
    <row r="23" spans="1:5" s="3" customFormat="1" x14ac:dyDescent="0.3">
      <c r="A23" s="211" t="s">
        <v>356</v>
      </c>
      <c r="B23" s="212"/>
      <c r="C23" s="129">
        <f t="shared" si="1"/>
        <v>0.58461538461538465</v>
      </c>
      <c r="D23" s="129">
        <f t="shared" si="1"/>
        <v>0.27184466019417475</v>
      </c>
      <c r="E23" s="154">
        <f t="shared" si="1"/>
        <v>0.28244274809160308</v>
      </c>
    </row>
    <row r="24" spans="1:5" s="3" customFormat="1" x14ac:dyDescent="0.3">
      <c r="A24" s="211" t="s">
        <v>357</v>
      </c>
      <c r="B24" s="212"/>
      <c r="C24" s="129">
        <f t="shared" si="1"/>
        <v>0.61538461538461542</v>
      </c>
      <c r="D24" s="129">
        <f t="shared" si="1"/>
        <v>0.26190476190476192</v>
      </c>
      <c r="E24" s="154">
        <f t="shared" si="1"/>
        <v>0.19811320754716982</v>
      </c>
    </row>
    <row r="25" spans="1:5" s="3" customFormat="1" x14ac:dyDescent="0.3">
      <c r="A25" s="213" t="s">
        <v>10</v>
      </c>
      <c r="B25" s="214"/>
      <c r="C25" s="129">
        <f t="shared" ref="C25:E27" si="2">SUM(C7-B7)/B7</f>
        <v>0.42441991831059345</v>
      </c>
      <c r="D25" s="129">
        <f t="shared" si="2"/>
        <v>-0.38225799141679478</v>
      </c>
      <c r="E25" s="154">
        <f t="shared" si="2"/>
        <v>1.0875065253890777</v>
      </c>
    </row>
    <row r="26" spans="1:5" s="3" customFormat="1" x14ac:dyDescent="0.3">
      <c r="A26" s="215" t="s">
        <v>358</v>
      </c>
      <c r="B26" s="216"/>
      <c r="C26" s="129">
        <f t="shared" si="2"/>
        <v>7.407407407407407E-2</v>
      </c>
      <c r="D26" s="129">
        <f t="shared" si="2"/>
        <v>-0.48275862068965519</v>
      </c>
      <c r="E26" s="154">
        <f t="shared" si="2"/>
        <v>0.4</v>
      </c>
    </row>
    <row r="27" spans="1:5" s="3" customFormat="1" x14ac:dyDescent="0.3">
      <c r="A27" s="215" t="s">
        <v>359</v>
      </c>
      <c r="B27" s="216"/>
      <c r="C27" s="129">
        <f t="shared" si="2"/>
        <v>-5.8823529411764705E-2</v>
      </c>
      <c r="D27" s="129">
        <f t="shared" si="2"/>
        <v>-0.375</v>
      </c>
      <c r="E27" s="154">
        <f t="shared" si="2"/>
        <v>0.4</v>
      </c>
    </row>
    <row r="28" spans="1:5" s="3" customFormat="1" x14ac:dyDescent="0.3">
      <c r="A28" s="217" t="s">
        <v>11</v>
      </c>
      <c r="B28" s="218"/>
      <c r="C28" s="129">
        <f t="shared" ref="C28:E30" si="3">SUM(C12-B12)/B12</f>
        <v>0.2127124266181557</v>
      </c>
      <c r="D28" s="129">
        <f t="shared" si="3"/>
        <v>0.26221391905096131</v>
      </c>
      <c r="E28" s="154">
        <f t="shared" si="3"/>
        <v>0.15639267850571723</v>
      </c>
    </row>
    <row r="29" spans="1:5" s="3" customFormat="1" x14ac:dyDescent="0.3">
      <c r="A29" s="215" t="s">
        <v>360</v>
      </c>
      <c r="B29" s="216"/>
      <c r="C29" s="129">
        <f t="shared" si="3"/>
        <v>0.2857142857142857</v>
      </c>
      <c r="D29" s="129">
        <f t="shared" si="3"/>
        <v>-7.407407407407407E-2</v>
      </c>
      <c r="E29" s="154">
        <f t="shared" si="3"/>
        <v>0</v>
      </c>
    </row>
    <row r="30" spans="1:5" s="3" customFormat="1" ht="15" thickBot="1" x14ac:dyDescent="0.35">
      <c r="A30" s="203" t="s">
        <v>361</v>
      </c>
      <c r="B30" s="204"/>
      <c r="C30" s="130">
        <f t="shared" si="3"/>
        <v>0.53846153846153844</v>
      </c>
      <c r="D30" s="130">
        <f t="shared" si="3"/>
        <v>-0.1</v>
      </c>
      <c r="E30" s="155">
        <f t="shared" si="3"/>
        <v>0.16666666666666666</v>
      </c>
    </row>
    <row r="31" spans="1:5" s="3" customFormat="1" x14ac:dyDescent="0.3">
      <c r="A31" s="131" t="s">
        <v>324</v>
      </c>
      <c r="B31" s="132"/>
      <c r="C31" s="133">
        <f t="shared" ref="C31:E32" si="4">SUM(C17-B17)/B17</f>
        <v>0.40707964601769914</v>
      </c>
      <c r="D31" s="133">
        <f t="shared" si="4"/>
        <v>7.5471698113207544E-2</v>
      </c>
      <c r="E31" s="156">
        <f t="shared" si="4"/>
        <v>0.25146198830409355</v>
      </c>
    </row>
    <row r="32" spans="1:5" s="3" customFormat="1" ht="15" thickBot="1" x14ac:dyDescent="0.35">
      <c r="A32" s="134" t="s">
        <v>327</v>
      </c>
      <c r="B32" s="135"/>
      <c r="C32" s="136">
        <f t="shared" si="4"/>
        <v>0.46341463414634149</v>
      </c>
      <c r="D32" s="136">
        <f t="shared" si="4"/>
        <v>0.11666666666666667</v>
      </c>
      <c r="E32" s="157">
        <f t="shared" si="4"/>
        <v>0.20895522388059701</v>
      </c>
    </row>
    <row r="33" spans="1:5" s="3" customFormat="1" ht="15" thickBot="1" x14ac:dyDescent="0.35">
      <c r="A33" s="109"/>
      <c r="B33" s="110"/>
      <c r="C33" s="109"/>
      <c r="D33" s="109"/>
      <c r="E33" s="109"/>
    </row>
    <row r="34" spans="1:5" s="3" customFormat="1" ht="18.600000000000001" thickBot="1" x14ac:dyDescent="0.4">
      <c r="A34" s="170" t="s">
        <v>323</v>
      </c>
      <c r="B34" s="171" t="s">
        <v>19</v>
      </c>
      <c r="C34" s="171" t="s">
        <v>18</v>
      </c>
      <c r="D34" s="172" t="s">
        <v>17</v>
      </c>
      <c r="E34" s="173" t="s">
        <v>317</v>
      </c>
    </row>
    <row r="35" spans="1:5" s="3" customFormat="1" x14ac:dyDescent="0.3">
      <c r="A35" s="167" t="s">
        <v>331</v>
      </c>
      <c r="B35" s="168">
        <f>SUM(B4/B3)</f>
        <v>0.8</v>
      </c>
      <c r="C35" s="168">
        <f>SUM(C4/C3)</f>
        <v>0.81553398058252424</v>
      </c>
      <c r="D35" s="168">
        <f>SUM(D4/D3)</f>
        <v>0.80916030534351147</v>
      </c>
      <c r="E35" s="169">
        <f>SUM(E4/E3)</f>
        <v>0.75595238095238093</v>
      </c>
    </row>
    <row r="36" spans="1:5" s="3" customFormat="1" x14ac:dyDescent="0.3">
      <c r="A36" s="148" t="s">
        <v>332</v>
      </c>
      <c r="B36" s="137">
        <f>SUM(B9/B8)</f>
        <v>0.62962962962962965</v>
      </c>
      <c r="C36" s="137">
        <f>SUM(C9/C8)</f>
        <v>0.55172413793103448</v>
      </c>
      <c r="D36" s="137">
        <f>SUM(D9/D8)</f>
        <v>0.66666666666666663</v>
      </c>
      <c r="E36" s="149">
        <f>SUM(E9/E8)</f>
        <v>0.66666666666666663</v>
      </c>
    </row>
    <row r="37" spans="1:5" s="3" customFormat="1" ht="15" thickBot="1" x14ac:dyDescent="0.35">
      <c r="A37" s="150" t="s">
        <v>333</v>
      </c>
      <c r="B37" s="151">
        <f>SUM(B14/B13)</f>
        <v>0.61904761904761907</v>
      </c>
      <c r="C37" s="151">
        <f>SUM(C14/C13)</f>
        <v>0.7407407407407407</v>
      </c>
      <c r="D37" s="151">
        <f>SUM(D14/D13)</f>
        <v>0.72</v>
      </c>
      <c r="E37" s="152">
        <f>SUM(E14/E13)</f>
        <v>0.84</v>
      </c>
    </row>
    <row r="38" spans="1:5" s="3" customFormat="1" ht="15" thickBot="1" x14ac:dyDescent="0.35">
      <c r="B38" s="4"/>
    </row>
    <row r="39" spans="1:5" s="3" customFormat="1" ht="18.600000000000001" thickBot="1" x14ac:dyDescent="0.4">
      <c r="A39" s="200" t="s">
        <v>355</v>
      </c>
      <c r="B39" s="201"/>
      <c r="C39" s="201"/>
      <c r="D39" s="201"/>
      <c r="E39" s="202"/>
    </row>
    <row r="40" spans="1:5" s="3" customFormat="1" ht="18.600000000000001" thickBot="1" x14ac:dyDescent="0.4">
      <c r="A40" s="180"/>
      <c r="B40" s="181" t="s">
        <v>19</v>
      </c>
      <c r="C40" s="182" t="s">
        <v>18</v>
      </c>
      <c r="D40" s="182" t="s">
        <v>17</v>
      </c>
      <c r="E40" s="182" t="s">
        <v>317</v>
      </c>
    </row>
    <row r="41" spans="1:5" s="3" customFormat="1" x14ac:dyDescent="0.3">
      <c r="A41" s="174" t="s">
        <v>347</v>
      </c>
      <c r="B41" s="186"/>
      <c r="C41" s="186"/>
      <c r="D41" s="186"/>
      <c r="E41" s="187"/>
    </row>
    <row r="42" spans="1:5" s="3" customFormat="1" x14ac:dyDescent="0.3">
      <c r="A42" s="146" t="s">
        <v>346</v>
      </c>
      <c r="B42" s="107">
        <f>SUM(FMC!B2/FMC!B12)</f>
        <v>0.27491853415724055</v>
      </c>
      <c r="C42" s="107">
        <f>SUM(FMC!C2/FMC!C12)</f>
        <v>0.2417392620728569</v>
      </c>
      <c r="D42" s="107">
        <f>SUM(FMC!D2/FMC!D12)</f>
        <v>0.20964387444972946</v>
      </c>
      <c r="E42" s="147">
        <f>SUM(FMC!E2/FMC!E12)</f>
        <v>0.18685409921470739</v>
      </c>
    </row>
    <row r="43" spans="1:5" s="3" customFormat="1" ht="15" thickBot="1" x14ac:dyDescent="0.35">
      <c r="A43" s="177" t="s">
        <v>351</v>
      </c>
      <c r="B43" s="178">
        <f>SUM(FMC!B4/FMC!B14)</f>
        <v>4</v>
      </c>
      <c r="C43" s="178">
        <f>SUM(FMC!C4/FMC!C14)</f>
        <v>4.2</v>
      </c>
      <c r="D43" s="178">
        <f>SUM(FMC!D4/FMC!D14)</f>
        <v>5.8888888888888893</v>
      </c>
      <c r="E43" s="179">
        <f>SUM(FMC!E4/FMC!E14)</f>
        <v>6.0476190476190474</v>
      </c>
    </row>
    <row r="44" spans="1:5" s="3" customFormat="1" x14ac:dyDescent="0.3">
      <c r="A44" s="183" t="s">
        <v>348</v>
      </c>
      <c r="B44" s="184"/>
      <c r="C44" s="184"/>
      <c r="D44" s="184"/>
      <c r="E44" s="185"/>
    </row>
    <row r="45" spans="1:5" s="3" customFormat="1" x14ac:dyDescent="0.3">
      <c r="A45" s="146" t="s">
        <v>349</v>
      </c>
      <c r="B45" s="107">
        <f>SUM(FMC!B2/FMC!B7)</f>
        <v>1.1452159555053445</v>
      </c>
      <c r="C45" s="107">
        <f>SUM(FMC!C2/FMC!C7)</f>
        <v>0.85733460233789693</v>
      </c>
      <c r="D45" s="107">
        <f>SUM(FMC!D2/FMC!D7)</f>
        <v>1.5191867601619879</v>
      </c>
      <c r="E45" s="147">
        <f>SUM(FMC!E2/FMC!E7)</f>
        <v>0.75008263439576328</v>
      </c>
    </row>
    <row r="46" spans="1:5" s="3" customFormat="1" ht="15" thickBot="1" x14ac:dyDescent="0.35">
      <c r="A46" s="177" t="s">
        <v>350</v>
      </c>
      <c r="B46" s="178">
        <f>SUM(FMC!B4/FMC!B9)</f>
        <v>3.0588235294117645</v>
      </c>
      <c r="C46" s="178">
        <f>SUM(FMC!C4/FMC!C9)</f>
        <v>5.25</v>
      </c>
      <c r="D46" s="178">
        <f>SUM(FMC!D4/FMC!D9)</f>
        <v>10.6</v>
      </c>
      <c r="E46" s="179">
        <f>SUM(FMC!E4/FMC!E9)</f>
        <v>9.0714285714285712</v>
      </c>
    </row>
    <row r="47" spans="1:5" s="3" customFormat="1" x14ac:dyDescent="0.3">
      <c r="A47" s="174" t="s">
        <v>354</v>
      </c>
      <c r="B47" s="175"/>
      <c r="C47" s="175"/>
      <c r="D47" s="175"/>
      <c r="E47" s="176"/>
    </row>
    <row r="48" spans="1:5" s="3" customFormat="1" x14ac:dyDescent="0.3">
      <c r="A48" s="146" t="s">
        <v>352</v>
      </c>
      <c r="B48" s="107">
        <f>SUM(FMC!B7/FMC!B12)</f>
        <v>0.24005824651292815</v>
      </c>
      <c r="C48" s="107">
        <f>SUM(FMC!C7/FMC!C12)</f>
        <v>0.2819660625077412</v>
      </c>
      <c r="D48" s="107">
        <f>SUM(FMC!D7/FMC!D12)</f>
        <v>0.13799743385558175</v>
      </c>
      <c r="E48" s="147">
        <f>SUM(FMC!E7/FMC!E12)</f>
        <v>0.24911135206486895</v>
      </c>
    </row>
    <row r="49" spans="1:5" s="3" customFormat="1" ht="15" thickBot="1" x14ac:dyDescent="0.35">
      <c r="A49" s="177" t="s">
        <v>353</v>
      </c>
      <c r="B49" s="178">
        <f>SUM(FMC!B9/FMC!B14)</f>
        <v>1.3076923076923077</v>
      </c>
      <c r="C49" s="178">
        <f>SUM(FMC!C9/FMC!C14)</f>
        <v>0.8</v>
      </c>
      <c r="D49" s="178">
        <f>SUM(FMC!D9/FMC!D14)</f>
        <v>0.55555555555555558</v>
      </c>
      <c r="E49" s="179">
        <f>SUM(FMC!E9/FMC!E14)</f>
        <v>0.66666666666666663</v>
      </c>
    </row>
    <row r="50" spans="1:5" s="3" customFormat="1" x14ac:dyDescent="0.3">
      <c r="B50" s="4"/>
    </row>
    <row r="51" spans="1:5" s="3" customFormat="1" x14ac:dyDescent="0.3">
      <c r="B51" s="4"/>
    </row>
    <row r="52" spans="1:5" s="3" customFormat="1" x14ac:dyDescent="0.3">
      <c r="B52" s="4"/>
    </row>
    <row r="53" spans="1:5" s="3" customFormat="1" x14ac:dyDescent="0.3">
      <c r="B53" s="4"/>
    </row>
    <row r="54" spans="1:5" s="3" customFormat="1" x14ac:dyDescent="0.3">
      <c r="B54" s="4"/>
    </row>
    <row r="55" spans="1:5" s="3" customFormat="1" x14ac:dyDescent="0.3">
      <c r="B55" s="4"/>
    </row>
    <row r="56" spans="1:5" s="3" customFormat="1" x14ac:dyDescent="0.3">
      <c r="B56" s="4"/>
    </row>
    <row r="57" spans="1:5" s="3" customFormat="1" x14ac:dyDescent="0.3">
      <c r="B57" s="4"/>
    </row>
    <row r="58" spans="1:5" s="3" customFormat="1" x14ac:dyDescent="0.3">
      <c r="B58" s="4"/>
    </row>
    <row r="59" spans="1:5" s="3" customFormat="1" x14ac:dyDescent="0.3">
      <c r="B59" s="4"/>
    </row>
    <row r="60" spans="1:5" s="3" customFormat="1" x14ac:dyDescent="0.3">
      <c r="B60" s="4"/>
    </row>
    <row r="61" spans="1:5" s="3" customFormat="1" x14ac:dyDescent="0.3">
      <c r="B61" s="4"/>
    </row>
    <row r="62" spans="1:5" s="3" customFormat="1" x14ac:dyDescent="0.3">
      <c r="B62" s="4"/>
    </row>
    <row r="63" spans="1:5" s="3" customFormat="1" x14ac:dyDescent="0.3">
      <c r="B63" s="4"/>
    </row>
    <row r="64" spans="1:5" s="3" customFormat="1" x14ac:dyDescent="0.3">
      <c r="B64" s="4"/>
    </row>
    <row r="65" spans="2:2" s="3" customFormat="1" x14ac:dyDescent="0.3">
      <c r="B65" s="4"/>
    </row>
    <row r="66" spans="2:2" s="3" customFormat="1" x14ac:dyDescent="0.3">
      <c r="B66" s="4"/>
    </row>
    <row r="67" spans="2:2" s="3" customFormat="1" x14ac:dyDescent="0.3">
      <c r="B67" s="4"/>
    </row>
    <row r="68" spans="2:2" s="3" customFormat="1" x14ac:dyDescent="0.3">
      <c r="B68" s="4"/>
    </row>
    <row r="69" spans="2:2" s="3" customFormat="1" x14ac:dyDescent="0.3">
      <c r="B69" s="4"/>
    </row>
    <row r="70" spans="2:2" s="3" customFormat="1" x14ac:dyDescent="0.3">
      <c r="B70" s="4"/>
    </row>
    <row r="71" spans="2:2" s="3" customFormat="1" x14ac:dyDescent="0.3">
      <c r="B71" s="4"/>
    </row>
    <row r="72" spans="2:2" s="3" customFormat="1" x14ac:dyDescent="0.3">
      <c r="B72" s="4"/>
    </row>
    <row r="73" spans="2:2" s="3" customFormat="1" x14ac:dyDescent="0.3">
      <c r="B73" s="4"/>
    </row>
    <row r="74" spans="2:2" s="3" customFormat="1" x14ac:dyDescent="0.3">
      <c r="B74" s="4"/>
    </row>
    <row r="75" spans="2:2" s="3" customFormat="1" x14ac:dyDescent="0.3">
      <c r="B75" s="4"/>
    </row>
    <row r="76" spans="2:2" s="3" customFormat="1" x14ac:dyDescent="0.3">
      <c r="B76" s="4"/>
    </row>
    <row r="77" spans="2:2" s="3" customFormat="1" x14ac:dyDescent="0.3">
      <c r="B77" s="4"/>
    </row>
    <row r="78" spans="2:2" s="3" customFormat="1" x14ac:dyDescent="0.3">
      <c r="B78" s="4"/>
    </row>
    <row r="79" spans="2:2" s="3" customFormat="1" x14ac:dyDescent="0.3">
      <c r="B79" s="4"/>
    </row>
    <row r="80" spans="2:2" s="3" customFormat="1" x14ac:dyDescent="0.3">
      <c r="B80" s="4"/>
    </row>
    <row r="81" spans="2:2" s="3" customFormat="1" x14ac:dyDescent="0.3">
      <c r="B81" s="4"/>
    </row>
    <row r="82" spans="2:2" s="3" customFormat="1" x14ac:dyDescent="0.3">
      <c r="B82" s="4"/>
    </row>
    <row r="83" spans="2:2" s="3" customFormat="1" x14ac:dyDescent="0.3">
      <c r="B83" s="4"/>
    </row>
    <row r="84" spans="2:2" s="3" customFormat="1" x14ac:dyDescent="0.3">
      <c r="B84" s="4"/>
    </row>
    <row r="85" spans="2:2" s="3" customFormat="1" x14ac:dyDescent="0.3">
      <c r="B85" s="4"/>
    </row>
    <row r="86" spans="2:2" s="3" customFormat="1" x14ac:dyDescent="0.3">
      <c r="B86" s="4"/>
    </row>
    <row r="87" spans="2:2" s="3" customFormat="1" x14ac:dyDescent="0.3">
      <c r="B87" s="4"/>
    </row>
    <row r="88" spans="2:2" s="3" customFormat="1" x14ac:dyDescent="0.3">
      <c r="B88" s="4"/>
    </row>
    <row r="89" spans="2:2" s="3" customFormat="1" x14ac:dyDescent="0.3">
      <c r="B89" s="4"/>
    </row>
    <row r="90" spans="2:2" s="3" customFormat="1" x14ac:dyDescent="0.3">
      <c r="B90" s="4"/>
    </row>
    <row r="91" spans="2:2" s="3" customFormat="1" x14ac:dyDescent="0.3">
      <c r="B91" s="4"/>
    </row>
    <row r="92" spans="2:2" s="3" customFormat="1" x14ac:dyDescent="0.3">
      <c r="B92" s="4"/>
    </row>
    <row r="93" spans="2:2" s="3" customFormat="1" x14ac:dyDescent="0.3">
      <c r="B93" s="4"/>
    </row>
    <row r="94" spans="2:2" s="3" customFormat="1" x14ac:dyDescent="0.3">
      <c r="B94" s="4"/>
    </row>
    <row r="95" spans="2:2" s="3" customFormat="1" x14ac:dyDescent="0.3">
      <c r="B95" s="4"/>
    </row>
    <row r="96" spans="2:2" s="3" customFormat="1" x14ac:dyDescent="0.3">
      <c r="B96" s="4"/>
    </row>
    <row r="97" spans="2:2" s="3" customFormat="1" x14ac:dyDescent="0.3">
      <c r="B97" s="4"/>
    </row>
    <row r="98" spans="2:2" s="3" customFormat="1" x14ac:dyDescent="0.3">
      <c r="B98" s="4"/>
    </row>
    <row r="99" spans="2:2" s="3" customFormat="1" x14ac:dyDescent="0.3">
      <c r="B99" s="4"/>
    </row>
    <row r="100" spans="2:2" s="3" customFormat="1" x14ac:dyDescent="0.3">
      <c r="B100" s="4"/>
    </row>
    <row r="101" spans="2:2" s="3" customFormat="1" x14ac:dyDescent="0.3">
      <c r="B101" s="4"/>
    </row>
    <row r="102" spans="2:2" s="3" customFormat="1" x14ac:dyDescent="0.3">
      <c r="B102" s="4"/>
    </row>
    <row r="103" spans="2:2" s="3" customFormat="1" x14ac:dyDescent="0.3">
      <c r="B103" s="4"/>
    </row>
    <row r="104" spans="2:2" s="3" customFormat="1" x14ac:dyDescent="0.3">
      <c r="B104" s="4"/>
    </row>
    <row r="105" spans="2:2" s="3" customFormat="1" x14ac:dyDescent="0.3">
      <c r="B105" s="4"/>
    </row>
    <row r="106" spans="2:2" s="3" customFormat="1" x14ac:dyDescent="0.3">
      <c r="B106" s="4"/>
    </row>
    <row r="107" spans="2:2" s="3" customFormat="1" x14ac:dyDescent="0.3">
      <c r="B107" s="4"/>
    </row>
    <row r="108" spans="2:2" s="3" customFormat="1" x14ac:dyDescent="0.3">
      <c r="B108" s="4"/>
    </row>
    <row r="109" spans="2:2" s="3" customFormat="1" x14ac:dyDescent="0.3">
      <c r="B109" s="4"/>
    </row>
    <row r="110" spans="2:2" s="3" customFormat="1" x14ac:dyDescent="0.3">
      <c r="B110" s="4"/>
    </row>
    <row r="111" spans="2:2" s="3" customFormat="1" x14ac:dyDescent="0.3">
      <c r="B111" s="4"/>
    </row>
    <row r="112" spans="2:2" s="3" customFormat="1" x14ac:dyDescent="0.3">
      <c r="B112" s="4"/>
    </row>
    <row r="113" spans="2:2" s="3" customFormat="1" x14ac:dyDescent="0.3">
      <c r="B113" s="4"/>
    </row>
    <row r="114" spans="2:2" s="3" customFormat="1" x14ac:dyDescent="0.3">
      <c r="B114" s="4"/>
    </row>
    <row r="115" spans="2:2" s="3" customFormat="1" x14ac:dyDescent="0.3">
      <c r="B115" s="4"/>
    </row>
    <row r="116" spans="2:2" s="3" customFormat="1" x14ac:dyDescent="0.3">
      <c r="B116" s="4"/>
    </row>
    <row r="117" spans="2:2" s="3" customFormat="1" x14ac:dyDescent="0.3">
      <c r="B117" s="4"/>
    </row>
    <row r="118" spans="2:2" s="3" customFormat="1" x14ac:dyDescent="0.3">
      <c r="B118" s="4"/>
    </row>
    <row r="119" spans="2:2" s="3" customFormat="1" x14ac:dyDescent="0.3">
      <c r="B119" s="4"/>
    </row>
    <row r="120" spans="2:2" s="3" customFormat="1" x14ac:dyDescent="0.3">
      <c r="B120" s="4"/>
    </row>
    <row r="121" spans="2:2" s="3" customFormat="1" x14ac:dyDescent="0.3">
      <c r="B121" s="4"/>
    </row>
    <row r="122" spans="2:2" s="3" customFormat="1" x14ac:dyDescent="0.3">
      <c r="B122" s="4"/>
    </row>
    <row r="123" spans="2:2" s="3" customFormat="1" x14ac:dyDescent="0.3">
      <c r="B123" s="4"/>
    </row>
    <row r="124" spans="2:2" s="3" customFormat="1" x14ac:dyDescent="0.3">
      <c r="B124" s="4"/>
    </row>
    <row r="125" spans="2:2" s="3" customFormat="1" x14ac:dyDescent="0.3">
      <c r="B125" s="4"/>
    </row>
    <row r="126" spans="2:2" s="3" customFormat="1" x14ac:dyDescent="0.3">
      <c r="B126" s="4"/>
    </row>
    <row r="127" spans="2:2" s="3" customFormat="1" x14ac:dyDescent="0.3">
      <c r="B127" s="4"/>
    </row>
    <row r="128" spans="2:2" s="3" customFormat="1" x14ac:dyDescent="0.3">
      <c r="B128" s="4"/>
    </row>
    <row r="129" spans="2:2" s="3" customFormat="1" x14ac:dyDescent="0.3">
      <c r="B129" s="4"/>
    </row>
    <row r="130" spans="2:2" s="3" customFormat="1" x14ac:dyDescent="0.3">
      <c r="B130" s="4"/>
    </row>
    <row r="131" spans="2:2" s="3" customFormat="1" x14ac:dyDescent="0.3">
      <c r="B131" s="4"/>
    </row>
    <row r="132" spans="2:2" s="3" customFormat="1" x14ac:dyDescent="0.3">
      <c r="B132" s="4"/>
    </row>
    <row r="133" spans="2:2" s="3" customFormat="1" x14ac:dyDescent="0.3">
      <c r="B133" s="4"/>
    </row>
    <row r="134" spans="2:2" s="3" customFormat="1" x14ac:dyDescent="0.3">
      <c r="B134" s="4"/>
    </row>
    <row r="135" spans="2:2" s="3" customFormat="1" x14ac:dyDescent="0.3">
      <c r="B135" s="4"/>
    </row>
    <row r="136" spans="2:2" s="3" customFormat="1" x14ac:dyDescent="0.3">
      <c r="B136" s="4"/>
    </row>
    <row r="137" spans="2:2" s="3" customFormat="1" x14ac:dyDescent="0.3">
      <c r="B137" s="4"/>
    </row>
    <row r="138" spans="2:2" s="3" customFormat="1" x14ac:dyDescent="0.3">
      <c r="B138" s="4"/>
    </row>
    <row r="139" spans="2:2" s="3" customFormat="1" x14ac:dyDescent="0.3">
      <c r="B139" s="4"/>
    </row>
    <row r="140" spans="2:2" s="3" customFormat="1" x14ac:dyDescent="0.3">
      <c r="B140" s="4"/>
    </row>
    <row r="141" spans="2:2" s="3" customFormat="1" x14ac:dyDescent="0.3">
      <c r="B141" s="4"/>
    </row>
    <row r="142" spans="2:2" s="3" customFormat="1" x14ac:dyDescent="0.3">
      <c r="B142" s="4"/>
    </row>
    <row r="143" spans="2:2" s="3" customFormat="1" x14ac:dyDescent="0.3">
      <c r="B143" s="4"/>
    </row>
    <row r="144" spans="2:2" s="3" customFormat="1" x14ac:dyDescent="0.3">
      <c r="B144" s="4"/>
    </row>
    <row r="145" spans="2:2" s="3" customFormat="1" x14ac:dyDescent="0.3">
      <c r="B145" s="4"/>
    </row>
    <row r="146" spans="2:2" s="3" customFormat="1" x14ac:dyDescent="0.3">
      <c r="B146" s="4"/>
    </row>
    <row r="147" spans="2:2" s="3" customFormat="1" x14ac:dyDescent="0.3">
      <c r="B147" s="4"/>
    </row>
    <row r="148" spans="2:2" s="3" customFormat="1" x14ac:dyDescent="0.3">
      <c r="B148" s="4"/>
    </row>
    <row r="149" spans="2:2" s="3" customFormat="1" x14ac:dyDescent="0.3">
      <c r="B149" s="4"/>
    </row>
    <row r="150" spans="2:2" s="3" customFormat="1" x14ac:dyDescent="0.3">
      <c r="B150" s="4"/>
    </row>
    <row r="151" spans="2:2" s="3" customFormat="1" x14ac:dyDescent="0.3">
      <c r="B151" s="4"/>
    </row>
    <row r="152" spans="2:2" s="3" customFormat="1" x14ac:dyDescent="0.3">
      <c r="B152" s="4"/>
    </row>
    <row r="153" spans="2:2" s="3" customFormat="1" x14ac:dyDescent="0.3">
      <c r="B153" s="4"/>
    </row>
    <row r="154" spans="2:2" s="3" customFormat="1" x14ac:dyDescent="0.3">
      <c r="B154" s="4"/>
    </row>
    <row r="155" spans="2:2" s="3" customFormat="1" x14ac:dyDescent="0.3">
      <c r="B155" s="4"/>
    </row>
    <row r="156" spans="2:2" s="3" customFormat="1" x14ac:dyDescent="0.3">
      <c r="B156" s="4"/>
    </row>
    <row r="157" spans="2:2" s="3" customFormat="1" x14ac:dyDescent="0.3">
      <c r="B157" s="4"/>
    </row>
    <row r="158" spans="2:2" s="3" customFormat="1" x14ac:dyDescent="0.3">
      <c r="B158" s="4"/>
    </row>
    <row r="159" spans="2:2" s="3" customFormat="1" x14ac:dyDescent="0.3">
      <c r="B159" s="4"/>
    </row>
    <row r="160" spans="2:2" s="3" customFormat="1" x14ac:dyDescent="0.3">
      <c r="B160" s="4"/>
    </row>
    <row r="161" spans="2:2" s="3" customFormat="1" x14ac:dyDescent="0.3">
      <c r="B161" s="4"/>
    </row>
    <row r="162" spans="2:2" s="3" customFormat="1" x14ac:dyDescent="0.3">
      <c r="B162" s="4"/>
    </row>
    <row r="163" spans="2:2" s="3" customFormat="1" x14ac:dyDescent="0.3">
      <c r="B163" s="4"/>
    </row>
    <row r="164" spans="2:2" s="3" customFormat="1" x14ac:dyDescent="0.3">
      <c r="B164" s="4"/>
    </row>
    <row r="165" spans="2:2" s="3" customFormat="1" x14ac:dyDescent="0.3">
      <c r="B165" s="4"/>
    </row>
    <row r="166" spans="2:2" s="3" customFormat="1" x14ac:dyDescent="0.3">
      <c r="B166" s="4"/>
    </row>
    <row r="167" spans="2:2" s="3" customFormat="1" x14ac:dyDescent="0.3">
      <c r="B167" s="4"/>
    </row>
    <row r="168" spans="2:2" s="3" customFormat="1" x14ac:dyDescent="0.3">
      <c r="B168" s="4"/>
    </row>
    <row r="169" spans="2:2" s="3" customFormat="1" x14ac:dyDescent="0.3">
      <c r="B169" s="4"/>
    </row>
    <row r="170" spans="2:2" s="3" customFormat="1" x14ac:dyDescent="0.3">
      <c r="B170" s="4"/>
    </row>
    <row r="171" spans="2:2" s="3" customFormat="1" x14ac:dyDescent="0.3">
      <c r="B171" s="4"/>
    </row>
    <row r="172" spans="2:2" s="3" customFormat="1" x14ac:dyDescent="0.3">
      <c r="B172" s="4"/>
    </row>
    <row r="173" spans="2:2" s="3" customFormat="1" x14ac:dyDescent="0.3">
      <c r="B173" s="4"/>
    </row>
    <row r="174" spans="2:2" s="3" customFormat="1" x14ac:dyDescent="0.3">
      <c r="B174" s="4"/>
    </row>
    <row r="175" spans="2:2" s="3" customFormat="1" x14ac:dyDescent="0.3">
      <c r="B175" s="4"/>
    </row>
    <row r="176" spans="2:2" s="3" customFormat="1" x14ac:dyDescent="0.3">
      <c r="B176" s="4"/>
    </row>
    <row r="177" spans="2:2" s="3" customFormat="1" x14ac:dyDescent="0.3">
      <c r="B177" s="4"/>
    </row>
    <row r="178" spans="2:2" s="3" customFormat="1" x14ac:dyDescent="0.3">
      <c r="B178" s="4"/>
    </row>
    <row r="179" spans="2:2" s="3" customFormat="1" x14ac:dyDescent="0.3">
      <c r="B179" s="4"/>
    </row>
    <row r="180" spans="2:2" s="3" customFormat="1" x14ac:dyDescent="0.3">
      <c r="B180" s="4"/>
    </row>
    <row r="181" spans="2:2" s="3" customFormat="1" x14ac:dyDescent="0.3">
      <c r="B181" s="4"/>
    </row>
    <row r="182" spans="2:2" s="3" customFormat="1" x14ac:dyDescent="0.3">
      <c r="B182" s="4"/>
    </row>
    <row r="183" spans="2:2" s="3" customFormat="1" x14ac:dyDescent="0.3">
      <c r="B183" s="4"/>
    </row>
    <row r="184" spans="2:2" s="3" customFormat="1" x14ac:dyDescent="0.3">
      <c r="B184" s="4"/>
    </row>
    <row r="185" spans="2:2" s="3" customFormat="1" x14ac:dyDescent="0.3">
      <c r="B185" s="4"/>
    </row>
    <row r="186" spans="2:2" s="3" customFormat="1" x14ac:dyDescent="0.3">
      <c r="B186" s="4"/>
    </row>
    <row r="187" spans="2:2" s="3" customFormat="1" x14ac:dyDescent="0.3">
      <c r="B187" s="4"/>
    </row>
    <row r="188" spans="2:2" s="3" customFormat="1" x14ac:dyDescent="0.3">
      <c r="B188" s="4"/>
    </row>
    <row r="189" spans="2:2" s="3" customFormat="1" x14ac:dyDescent="0.3">
      <c r="B189" s="4"/>
    </row>
    <row r="190" spans="2:2" s="3" customFormat="1" x14ac:dyDescent="0.3">
      <c r="B190" s="4"/>
    </row>
    <row r="191" spans="2:2" s="3" customFormat="1" x14ac:dyDescent="0.3">
      <c r="B191" s="4"/>
    </row>
    <row r="192" spans="2:2" s="3" customFormat="1" x14ac:dyDescent="0.3">
      <c r="B192" s="4"/>
    </row>
    <row r="193" spans="2:2" s="3" customFormat="1" x14ac:dyDescent="0.3">
      <c r="B193" s="4"/>
    </row>
    <row r="194" spans="2:2" s="3" customFormat="1" x14ac:dyDescent="0.3">
      <c r="B194" s="4"/>
    </row>
    <row r="195" spans="2:2" s="3" customFormat="1" x14ac:dyDescent="0.3">
      <c r="B195" s="4"/>
    </row>
    <row r="196" spans="2:2" s="3" customFormat="1" x14ac:dyDescent="0.3">
      <c r="B196" s="4"/>
    </row>
    <row r="197" spans="2:2" s="3" customFormat="1" x14ac:dyDescent="0.3">
      <c r="B197" s="4"/>
    </row>
    <row r="198" spans="2:2" s="3" customFormat="1" x14ac:dyDescent="0.3">
      <c r="B198" s="4"/>
    </row>
    <row r="199" spans="2:2" s="3" customFormat="1" x14ac:dyDescent="0.3">
      <c r="B199" s="4"/>
    </row>
    <row r="200" spans="2:2" s="3" customFormat="1" x14ac:dyDescent="0.3">
      <c r="B200" s="4"/>
    </row>
    <row r="201" spans="2:2" s="3" customFormat="1" x14ac:dyDescent="0.3">
      <c r="B201" s="4"/>
    </row>
    <row r="202" spans="2:2" s="3" customFormat="1" x14ac:dyDescent="0.3">
      <c r="B202" s="4"/>
    </row>
    <row r="203" spans="2:2" s="3" customFormat="1" x14ac:dyDescent="0.3">
      <c r="B203" s="4"/>
    </row>
    <row r="204" spans="2:2" s="3" customFormat="1" x14ac:dyDescent="0.3">
      <c r="B204" s="4"/>
    </row>
    <row r="205" spans="2:2" s="3" customFormat="1" x14ac:dyDescent="0.3">
      <c r="B205" s="4"/>
    </row>
    <row r="206" spans="2:2" s="3" customFormat="1" x14ac:dyDescent="0.3">
      <c r="B206" s="4"/>
    </row>
    <row r="207" spans="2:2" s="3" customFormat="1" x14ac:dyDescent="0.3">
      <c r="B207" s="4"/>
    </row>
    <row r="208" spans="2:2" s="3" customFormat="1" x14ac:dyDescent="0.3">
      <c r="B208" s="4"/>
    </row>
    <row r="209" spans="2:2" s="3" customFormat="1" x14ac:dyDescent="0.3">
      <c r="B209" s="4"/>
    </row>
    <row r="210" spans="2:2" s="3" customFormat="1" x14ac:dyDescent="0.3">
      <c r="B210" s="4"/>
    </row>
    <row r="211" spans="2:2" s="3" customFormat="1" x14ac:dyDescent="0.3">
      <c r="B211" s="4"/>
    </row>
    <row r="212" spans="2:2" s="3" customFormat="1" x14ac:dyDescent="0.3">
      <c r="B212" s="4"/>
    </row>
    <row r="213" spans="2:2" s="3" customFormat="1" x14ac:dyDescent="0.3">
      <c r="B213" s="4"/>
    </row>
    <row r="214" spans="2:2" s="3" customFormat="1" x14ac:dyDescent="0.3">
      <c r="B214" s="4"/>
    </row>
    <row r="215" spans="2:2" s="3" customFormat="1" x14ac:dyDescent="0.3">
      <c r="B215" s="4"/>
    </row>
    <row r="216" spans="2:2" s="3" customFormat="1" x14ac:dyDescent="0.3">
      <c r="B216" s="4"/>
    </row>
    <row r="217" spans="2:2" s="3" customFormat="1" x14ac:dyDescent="0.3">
      <c r="B217" s="4"/>
    </row>
    <row r="218" spans="2:2" s="3" customFormat="1" x14ac:dyDescent="0.3">
      <c r="B218" s="4"/>
    </row>
    <row r="219" spans="2:2" s="3" customFormat="1" x14ac:dyDescent="0.3">
      <c r="B219" s="4"/>
    </row>
    <row r="220" spans="2:2" s="3" customFormat="1" x14ac:dyDescent="0.3">
      <c r="B220" s="4"/>
    </row>
    <row r="221" spans="2:2" s="3" customFormat="1" x14ac:dyDescent="0.3">
      <c r="B221" s="4"/>
    </row>
    <row r="222" spans="2:2" s="3" customFormat="1" x14ac:dyDescent="0.3">
      <c r="B222" s="4"/>
    </row>
    <row r="223" spans="2:2" s="3" customFormat="1" x14ac:dyDescent="0.3">
      <c r="B223" s="4"/>
    </row>
    <row r="224" spans="2:2" s="3" customFormat="1" x14ac:dyDescent="0.3">
      <c r="B224" s="4"/>
    </row>
    <row r="225" spans="1:6" s="3" customFormat="1" x14ac:dyDescent="0.3">
      <c r="B225" s="4"/>
    </row>
    <row r="226" spans="1:6" s="3" customFormat="1" x14ac:dyDescent="0.3">
      <c r="B226" s="4"/>
    </row>
    <row r="227" spans="1:6" s="3" customFormat="1" x14ac:dyDescent="0.3">
      <c r="B227" s="4"/>
    </row>
    <row r="228" spans="1:6" s="3" customFormat="1" x14ac:dyDescent="0.3">
      <c r="B228" s="4"/>
    </row>
    <row r="229" spans="1:6" s="3" customFormat="1" x14ac:dyDescent="0.3">
      <c r="B229" s="4"/>
    </row>
    <row r="230" spans="1:6" s="3" customFormat="1" x14ac:dyDescent="0.3">
      <c r="B230" s="4"/>
    </row>
    <row r="231" spans="1:6" s="3" customFormat="1" x14ac:dyDescent="0.3">
      <c r="B231" s="4"/>
      <c r="D231"/>
    </row>
    <row r="232" spans="1:6" s="3" customFormat="1" x14ac:dyDescent="0.3">
      <c r="B232" s="4"/>
      <c r="D232"/>
    </row>
    <row r="233" spans="1:6" s="3" customFormat="1" x14ac:dyDescent="0.3">
      <c r="B233" s="4"/>
      <c r="D233"/>
    </row>
    <row r="234" spans="1:6" s="3" customFormat="1" x14ac:dyDescent="0.3">
      <c r="B234" s="4"/>
      <c r="D234"/>
    </row>
    <row r="235" spans="1:6" s="3" customFormat="1" x14ac:dyDescent="0.3">
      <c r="B235" s="4"/>
      <c r="D235"/>
      <c r="F235"/>
    </row>
    <row r="236" spans="1:6" s="3" customFormat="1" x14ac:dyDescent="0.3">
      <c r="B236" s="4"/>
      <c r="D236"/>
      <c r="F236"/>
    </row>
    <row r="237" spans="1:6" x14ac:dyDescent="0.3">
      <c r="A237" s="3"/>
      <c r="B237" s="4"/>
      <c r="C237" s="3"/>
      <c r="E237" s="3"/>
    </row>
    <row r="238" spans="1:6" x14ac:dyDescent="0.3">
      <c r="A238" s="3"/>
      <c r="B238" s="4"/>
      <c r="C238" s="3"/>
      <c r="E238" s="3"/>
    </row>
    <row r="239" spans="1:6" x14ac:dyDescent="0.3">
      <c r="A239" s="3"/>
      <c r="B239" s="4"/>
      <c r="C239" s="3"/>
      <c r="E239" s="3"/>
    </row>
    <row r="240" spans="1:6" x14ac:dyDescent="0.3">
      <c r="A240" s="3"/>
      <c r="B240" s="4"/>
      <c r="C240" s="3"/>
      <c r="E240" s="3"/>
    </row>
    <row r="241" spans="1:5" x14ac:dyDescent="0.3">
      <c r="A241" s="3"/>
      <c r="B241" s="4"/>
      <c r="C241" s="3"/>
      <c r="E241" s="3"/>
    </row>
    <row r="242" spans="1:5" x14ac:dyDescent="0.3">
      <c r="A242" s="3"/>
      <c r="B242" s="4"/>
      <c r="C242" s="3"/>
    </row>
    <row r="243" spans="1:5" x14ac:dyDescent="0.3">
      <c r="A243" s="3"/>
      <c r="B243" s="4"/>
      <c r="C243" s="3"/>
    </row>
  </sheetData>
  <customSheetViews>
    <customSheetView guid="{BAD45175-89D5-44B0-AF3C-277DABED32D2}">
      <selection activeCell="D102" sqref="D102"/>
      <pageMargins left="0.7" right="0.7" top="0.75" bottom="0.75" header="0.3" footer="0.3"/>
    </customSheetView>
    <customSheetView guid="{C8026B79-4C4A-436C-A980-AE22782A4F5F}" showPageBreaks="1" fitToPage="1" topLeftCell="A72">
      <selection activeCell="D102" sqref="D102"/>
      <pageMargins left="0.25" right="0.25" top="0.75" bottom="0.75" header="0.3" footer="0.3"/>
      <pageSetup scale="40" orientation="landscape" r:id="rId1"/>
    </customSheetView>
  </customSheetViews>
  <mergeCells count="11">
    <mergeCell ref="A39:E39"/>
    <mergeCell ref="A30:B30"/>
    <mergeCell ref="A20:B21"/>
    <mergeCell ref="A22:B22"/>
    <mergeCell ref="A23:B23"/>
    <mergeCell ref="A24:B24"/>
    <mergeCell ref="A25:B25"/>
    <mergeCell ref="A26:B26"/>
    <mergeCell ref="A27:B27"/>
    <mergeCell ref="A28:B28"/>
    <mergeCell ref="A29:B29"/>
  </mergeCells>
  <pageMargins left="0.25" right="0.25" top="0.75" bottom="0.75" header="0.3" footer="0.3"/>
  <pageSetup scale="58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28" workbookViewId="0">
      <selection sqref="A1:Y1"/>
    </sheetView>
  </sheetViews>
  <sheetFormatPr defaultRowHeight="14.4" x14ac:dyDescent="0.3"/>
  <sheetData>
    <row r="1" spans="1:25" ht="57" customHeight="1" x14ac:dyDescent="0.7">
      <c r="A1" s="219" t="s">
        <v>363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12" spans="1:25" ht="112.5" customHeight="1" x14ac:dyDescent="0.25"/>
    <row r="27" spans="1:25" ht="51.75" customHeight="1" x14ac:dyDescent="0.85">
      <c r="A27" s="219" t="s">
        <v>364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</row>
  </sheetData>
  <mergeCells count="2">
    <mergeCell ref="A1:Y1"/>
    <mergeCell ref="A27:Y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Summ.</vt:lpstr>
      <vt:lpstr>F</vt:lpstr>
      <vt:lpstr>FMC</vt:lpstr>
      <vt:lpstr>CHARTS</vt:lpstr>
    </vt:vector>
  </TitlesOfParts>
  <Company>Idaho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mreese</dc:creator>
  <cp:lastModifiedBy>Kelly Rauscher</cp:lastModifiedBy>
  <cp:lastPrinted>2015-03-04T17:31:16Z</cp:lastPrinted>
  <dcterms:created xsi:type="dcterms:W3CDTF">2012-07-16T21:31:03Z</dcterms:created>
  <dcterms:modified xsi:type="dcterms:W3CDTF">2020-06-16T02:20:58Z</dcterms:modified>
</cp:coreProperties>
</file>